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en\Rommelmarkt\Rommelmarkt\2023\"/>
    </mc:Choice>
  </mc:AlternateContent>
  <bookViews>
    <workbookView xWindow="0" yWindow="0" windowWidth="20490" windowHeight="6795"/>
  </bookViews>
  <sheets>
    <sheet name="Blad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8" i="1" l="1"/>
  <c r="Z48" i="1"/>
  <c r="Y48" i="1"/>
  <c r="X48" i="1"/>
  <c r="F47" i="1"/>
  <c r="AH47" i="1" s="1"/>
  <c r="E47" i="1"/>
  <c r="AI47" i="1" s="1"/>
  <c r="D47" i="1"/>
  <c r="AH46" i="1"/>
  <c r="V46" i="1"/>
  <c r="E46" i="1"/>
  <c r="AI46" i="1" s="1"/>
  <c r="D46" i="1"/>
  <c r="B46" i="1"/>
  <c r="AI45" i="1"/>
  <c r="AH45" i="1"/>
  <c r="AI44" i="1"/>
  <c r="AH44" i="1"/>
  <c r="AI43" i="1"/>
  <c r="AH43" i="1"/>
  <c r="AI42" i="1"/>
  <c r="AH42" i="1"/>
  <c r="AI41" i="1"/>
  <c r="AH41" i="1"/>
  <c r="N40" i="1"/>
  <c r="I40" i="1"/>
  <c r="H40" i="1"/>
  <c r="AA39" i="1"/>
  <c r="Z39" i="1"/>
  <c r="V39" i="1"/>
  <c r="S39" i="1"/>
  <c r="R39" i="1"/>
  <c r="N39" i="1"/>
  <c r="I39" i="1"/>
  <c r="I48" i="1" s="1"/>
  <c r="H39" i="1"/>
  <c r="H48" i="1" s="1"/>
  <c r="J38" i="1"/>
  <c r="D38" i="1"/>
  <c r="E38" i="1" s="1"/>
  <c r="C38" i="1"/>
  <c r="AH37" i="1"/>
  <c r="E37" i="1"/>
  <c r="AI37" i="1" s="1"/>
  <c r="C37" i="1"/>
  <c r="B37" i="1"/>
  <c r="AH36" i="1"/>
  <c r="D36" i="1"/>
  <c r="C36" i="1"/>
  <c r="B36" i="1"/>
  <c r="E36" i="1" s="1"/>
  <c r="AI36" i="1" s="1"/>
  <c r="AH35" i="1"/>
  <c r="J35" i="1"/>
  <c r="D35" i="1"/>
  <c r="B35" i="1"/>
  <c r="E35" i="1" s="1"/>
  <c r="AH34" i="1"/>
  <c r="D34" i="1"/>
  <c r="C34" i="1"/>
  <c r="E34" i="1" s="1"/>
  <c r="AI34" i="1" s="1"/>
  <c r="B34" i="1"/>
  <c r="AH33" i="1"/>
  <c r="X33" i="1"/>
  <c r="D33" i="1"/>
  <c r="C33" i="1"/>
  <c r="B33" i="1"/>
  <c r="E33" i="1" s="1"/>
  <c r="AI33" i="1" s="1"/>
  <c r="AH32" i="1"/>
  <c r="X32" i="1"/>
  <c r="W32" i="1"/>
  <c r="J32" i="1"/>
  <c r="D32" i="1"/>
  <c r="C32" i="1"/>
  <c r="E32" i="1" s="1"/>
  <c r="AI32" i="1" s="1"/>
  <c r="B32" i="1"/>
  <c r="AH31" i="1"/>
  <c r="Y31" i="1"/>
  <c r="X31" i="1"/>
  <c r="W31" i="1"/>
  <c r="D31" i="1"/>
  <c r="E31" i="1" s="1"/>
  <c r="AI31" i="1" s="1"/>
  <c r="C31" i="1"/>
  <c r="B31" i="1"/>
  <c r="AH30" i="1"/>
  <c r="Y30" i="1"/>
  <c r="X30" i="1"/>
  <c r="W30" i="1"/>
  <c r="E30" i="1"/>
  <c r="AI30" i="1" s="1"/>
  <c r="D30" i="1"/>
  <c r="C30" i="1"/>
  <c r="B30" i="1"/>
  <c r="AH29" i="1"/>
  <c r="D29" i="1"/>
  <c r="C29" i="1"/>
  <c r="E29" i="1" s="1"/>
  <c r="AI29" i="1" s="1"/>
  <c r="B29" i="1"/>
  <c r="AH28" i="1"/>
  <c r="X28" i="1"/>
  <c r="U28" i="1"/>
  <c r="U39" i="1" s="1"/>
  <c r="T28" i="1"/>
  <c r="T39" i="1" s="1"/>
  <c r="E28" i="1"/>
  <c r="AI28" i="1" s="1"/>
  <c r="D28" i="1"/>
  <c r="C28" i="1"/>
  <c r="B28" i="1"/>
  <c r="AH27" i="1"/>
  <c r="D27" i="1"/>
  <c r="C27" i="1"/>
  <c r="E27" i="1" s="1"/>
  <c r="AI27" i="1" s="1"/>
  <c r="B27" i="1"/>
  <c r="AH26" i="1"/>
  <c r="X26" i="1"/>
  <c r="W26" i="1"/>
  <c r="D26" i="1"/>
  <c r="C26" i="1"/>
  <c r="E26" i="1" s="1"/>
  <c r="AI26" i="1" s="1"/>
  <c r="B26" i="1"/>
  <c r="AH25" i="1"/>
  <c r="Y25" i="1"/>
  <c r="X25" i="1"/>
  <c r="V25" i="1"/>
  <c r="W25" i="1" s="1"/>
  <c r="E25" i="1"/>
  <c r="AI25" i="1" s="1"/>
  <c r="D25" i="1"/>
  <c r="C25" i="1"/>
  <c r="B25" i="1"/>
  <c r="Y24" i="1"/>
  <c r="X24" i="1"/>
  <c r="W24" i="1"/>
  <c r="V24" i="1"/>
  <c r="J24" i="1"/>
  <c r="D24" i="1"/>
  <c r="C24" i="1"/>
  <c r="G24" i="1" s="1"/>
  <c r="B24" i="1"/>
  <c r="E24" i="1" s="1"/>
  <c r="AH23" i="1"/>
  <c r="X23" i="1"/>
  <c r="W23" i="1"/>
  <c r="D23" i="1"/>
  <c r="C23" i="1"/>
  <c r="B23" i="1"/>
  <c r="E23" i="1" s="1"/>
  <c r="AI23" i="1" s="1"/>
  <c r="AH22" i="1"/>
  <c r="X22" i="1"/>
  <c r="W22" i="1"/>
  <c r="D22" i="1"/>
  <c r="C22" i="1"/>
  <c r="B22" i="1"/>
  <c r="E22" i="1" s="1"/>
  <c r="AI22" i="1" s="1"/>
  <c r="AH21" i="1"/>
  <c r="X21" i="1"/>
  <c r="W21" i="1"/>
  <c r="D21" i="1"/>
  <c r="C21" i="1"/>
  <c r="B21" i="1"/>
  <c r="E21" i="1" s="1"/>
  <c r="AI21" i="1" s="1"/>
  <c r="AH20" i="1"/>
  <c r="X20" i="1"/>
  <c r="W20" i="1"/>
  <c r="J20" i="1"/>
  <c r="J40" i="1" s="1"/>
  <c r="D20" i="1"/>
  <c r="E20" i="1" s="1"/>
  <c r="AI20" i="1" s="1"/>
  <c r="C20" i="1"/>
  <c r="B20" i="1"/>
  <c r="AH19" i="1"/>
  <c r="X19" i="1"/>
  <c r="W19" i="1"/>
  <c r="D19" i="1"/>
  <c r="E19" i="1" s="1"/>
  <c r="AI19" i="1" s="1"/>
  <c r="C19" i="1"/>
  <c r="B19" i="1"/>
  <c r="AH18" i="1"/>
  <c r="X18" i="1"/>
  <c r="W18" i="1"/>
  <c r="D18" i="1"/>
  <c r="E18" i="1" s="1"/>
  <c r="AI18" i="1" s="1"/>
  <c r="C18" i="1"/>
  <c r="B18" i="1"/>
  <c r="AH17" i="1"/>
  <c r="X17" i="1"/>
  <c r="W17" i="1"/>
  <c r="D17" i="1"/>
  <c r="E17" i="1" s="1"/>
  <c r="AI17" i="1" s="1"/>
  <c r="C17" i="1"/>
  <c r="B17" i="1"/>
  <c r="AH16" i="1"/>
  <c r="D16" i="1"/>
  <c r="C16" i="1"/>
  <c r="B16" i="1"/>
  <c r="E16" i="1" s="1"/>
  <c r="AI16" i="1" s="1"/>
  <c r="AH15" i="1"/>
  <c r="X15" i="1"/>
  <c r="W15" i="1"/>
  <c r="D15" i="1"/>
  <c r="C15" i="1"/>
  <c r="B15" i="1"/>
  <c r="E15" i="1" s="1"/>
  <c r="AI15" i="1" s="1"/>
  <c r="AH14" i="1"/>
  <c r="W14" i="1"/>
  <c r="E14" i="1"/>
  <c r="AI14" i="1" s="1"/>
  <c r="D14" i="1"/>
  <c r="C14" i="1"/>
  <c r="B14" i="1"/>
  <c r="AH13" i="1"/>
  <c r="X13" i="1"/>
  <c r="W13" i="1"/>
  <c r="E13" i="1"/>
  <c r="AI13" i="1" s="1"/>
  <c r="D13" i="1"/>
  <c r="C13" i="1"/>
  <c r="B13" i="1"/>
  <c r="AH12" i="1"/>
  <c r="Y12" i="1"/>
  <c r="X12" i="1"/>
  <c r="W12" i="1"/>
  <c r="D12" i="1"/>
  <c r="C12" i="1"/>
  <c r="B12" i="1"/>
  <c r="E12" i="1" s="1"/>
  <c r="AI12" i="1" s="1"/>
  <c r="AH11" i="1"/>
  <c r="X11" i="1"/>
  <c r="W11" i="1"/>
  <c r="D11" i="1"/>
  <c r="C11" i="1"/>
  <c r="B11" i="1"/>
  <c r="E11" i="1" s="1"/>
  <c r="AI11" i="1" s="1"/>
  <c r="AH10" i="1"/>
  <c r="X10" i="1"/>
  <c r="W10" i="1"/>
  <c r="D10" i="1"/>
  <c r="C10" i="1"/>
  <c r="B10" i="1"/>
  <c r="E10" i="1" s="1"/>
  <c r="AI10" i="1" s="1"/>
  <c r="AH9" i="1"/>
  <c r="X9" i="1"/>
  <c r="W9" i="1"/>
  <c r="D9" i="1"/>
  <c r="C9" i="1"/>
  <c r="B9" i="1"/>
  <c r="E9" i="1" s="1"/>
  <c r="AI9" i="1" s="1"/>
  <c r="AH8" i="1"/>
  <c r="X8" i="1"/>
  <c r="W8" i="1"/>
  <c r="D8" i="1"/>
  <c r="C8" i="1"/>
  <c r="B8" i="1"/>
  <c r="E8" i="1" s="1"/>
  <c r="AH7" i="1"/>
  <c r="Y7" i="1"/>
  <c r="X7" i="1"/>
  <c r="W7" i="1"/>
  <c r="D7" i="1"/>
  <c r="C7" i="1"/>
  <c r="C39" i="1" s="1"/>
  <c r="C48" i="1" s="1"/>
  <c r="B7" i="1"/>
  <c r="B39" i="1" s="1"/>
  <c r="B48" i="1" s="1"/>
  <c r="D4" i="1"/>
  <c r="E4" i="1" s="1"/>
  <c r="AI8" i="1" l="1"/>
  <c r="E40" i="1"/>
  <c r="AI35" i="1"/>
  <c r="G35" i="1"/>
  <c r="F24" i="1"/>
  <c r="AI24" i="1" s="1"/>
  <c r="E7" i="1"/>
  <c r="G20" i="1"/>
  <c r="F38" i="1"/>
  <c r="AH38" i="1" s="1"/>
  <c r="J39" i="1"/>
  <c r="J48" i="1" s="1"/>
  <c r="D39" i="1"/>
  <c r="D48" i="1" s="1"/>
  <c r="W28" i="1"/>
  <c r="W39" i="1" s="1"/>
  <c r="F40" i="1" l="1"/>
  <c r="AH40" i="1" s="1"/>
  <c r="AH24" i="1"/>
  <c r="F39" i="1"/>
  <c r="G39" i="1"/>
  <c r="G48" i="1" s="1"/>
  <c r="Z58" i="1" s="1"/>
  <c r="G40" i="1"/>
  <c r="AI38" i="1"/>
  <c r="AI7" i="1"/>
  <c r="E39" i="1"/>
  <c r="F48" i="1" l="1"/>
  <c r="AH39" i="1"/>
  <c r="E48" i="1"/>
  <c r="AI39" i="1"/>
  <c r="AI40" i="1"/>
  <c r="AB58" i="1" l="1"/>
  <c r="P58" i="1"/>
  <c r="AI48" i="1"/>
  <c r="O58" i="1"/>
  <c r="AH48" i="1"/>
  <c r="AA58" i="1"/>
</calcChain>
</file>

<file path=xl/sharedStrings.xml><?xml version="1.0" encoding="utf-8"?>
<sst xmlns="http://schemas.openxmlformats.org/spreadsheetml/2006/main" count="106" uniqueCount="63">
  <si>
    <t>Opbrengst per kraam</t>
  </si>
  <si>
    <t>Stijging/daling</t>
  </si>
  <si>
    <t>opbrengst t.o.v</t>
  </si>
  <si>
    <t>bruto</t>
  </si>
  <si>
    <t xml:space="preserve">Wisselgeld </t>
  </si>
  <si>
    <t>kosten</t>
  </si>
  <si>
    <t xml:space="preserve">Netto kraam </t>
  </si>
  <si>
    <t>Netto kraam</t>
  </si>
  <si>
    <t>Netto kraam-</t>
  </si>
  <si>
    <t>Wisselgeld</t>
  </si>
  <si>
    <t>Kosten</t>
  </si>
  <si>
    <t>Wisselgeld+</t>
  </si>
  <si>
    <t>Bruto</t>
  </si>
  <si>
    <t>Wisselgeld &amp;</t>
  </si>
  <si>
    <t>wisselgeld &amp;</t>
  </si>
  <si>
    <t>opbrengst t.o.v.</t>
  </si>
  <si>
    <t>vorig jaar</t>
  </si>
  <si>
    <t>Index</t>
  </si>
  <si>
    <t>opbrengst</t>
  </si>
  <si>
    <t>directe kosten</t>
  </si>
  <si>
    <t>Beelden/Blikken</t>
  </si>
  <si>
    <t>Bloemen</t>
  </si>
  <si>
    <t>Bloempotten</t>
  </si>
  <si>
    <t>Boeken</t>
  </si>
  <si>
    <t>Curver</t>
  </si>
  <si>
    <t>Electra</t>
  </si>
  <si>
    <t>Fietsen</t>
  </si>
  <si>
    <t>Friet</t>
  </si>
  <si>
    <t>Fruit (vh oliebollen)</t>
  </si>
  <si>
    <t>Gereedschap</t>
  </si>
  <si>
    <t>Glas/Servies</t>
  </si>
  <si>
    <t>Huishoudelijke artikelen</t>
  </si>
  <si>
    <t>Kleding</t>
  </si>
  <si>
    <t>Gift</t>
  </si>
  <si>
    <t xml:space="preserve">Koeken </t>
  </si>
  <si>
    <t>Koffie</t>
  </si>
  <si>
    <t>Lampen</t>
  </si>
  <si>
    <t>Lootjes</t>
  </si>
  <si>
    <t>Luchtkussen</t>
  </si>
  <si>
    <t>n.v.t.</t>
  </si>
  <si>
    <t>Luxe spullen</t>
  </si>
  <si>
    <t>Meubels</t>
  </si>
  <si>
    <t>Opbod</t>
  </si>
  <si>
    <t>Pannen</t>
  </si>
  <si>
    <t xml:space="preserve">Riet </t>
  </si>
  <si>
    <t>Schilderijen</t>
  </si>
  <si>
    <t>Rommelzolder / Deco</t>
  </si>
  <si>
    <t>Snoep/ijs/(Luchtkussen)</t>
  </si>
  <si>
    <t>Speelgoed</t>
  </si>
  <si>
    <t>Kringloop</t>
  </si>
  <si>
    <t xml:space="preserve"> </t>
  </si>
  <si>
    <t>Wafels</t>
  </si>
  <si>
    <t>Ijzer- papier</t>
  </si>
  <si>
    <t>Hapje - drankje vrijwilligers</t>
  </si>
  <si>
    <t>Netto opbrengst</t>
  </si>
  <si>
    <t>Kosten Kraamhuur</t>
  </si>
  <si>
    <t>Kraakwagen (geschat)</t>
  </si>
  <si>
    <t>Fles Jonge Jenever Ben Brouwer</t>
  </si>
  <si>
    <t>Taart (8*16 euro)</t>
  </si>
  <si>
    <t xml:space="preserve"> Algemene kosten</t>
  </si>
  <si>
    <t>Overig</t>
  </si>
  <si>
    <t>Netto Opbrengst</t>
  </si>
  <si>
    <t xml:space="preserve">Netto  Opbrengst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</si>
</sst>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  <numFmt numFmtId="165" formatCode="_ [$€-413]\ * #,##0.00_ ;_ [$€-413]\ * \-#,##0.00_ ;_ [$€-413]\ * &quot;-&quot;??_ ;_ @_ "/>
    <numFmt numFmtId="166" formatCode="_-&quot;€&quot;\ * #,##0_-;_-&quot;€&quot;\ * #,##0\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27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5" fontId="2" fillId="0" borderId="0" xfId="1" applyNumberFormat="1" applyFont="1" applyAlignment="1">
      <alignment horizontal="center"/>
    </xf>
    <xf numFmtId="9" fontId="2" fillId="0" borderId="0" xfId="2" applyFont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/>
    <xf numFmtId="164" fontId="0" fillId="0" borderId="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4" fillId="0" borderId="1" xfId="0" applyNumberFormat="1" applyFont="1" applyBorder="1"/>
    <xf numFmtId="164" fontId="4" fillId="0" borderId="3" xfId="0" applyNumberFormat="1" applyFont="1" applyBorder="1"/>
    <xf numFmtId="164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/>
    <xf numFmtId="164" fontId="4" fillId="0" borderId="7" xfId="0" applyNumberFormat="1" applyFont="1" applyFill="1" applyBorder="1"/>
    <xf numFmtId="164" fontId="4" fillId="0" borderId="8" xfId="0" applyNumberFormat="1" applyFont="1" applyBorder="1"/>
    <xf numFmtId="164" fontId="4" fillId="0" borderId="0" xfId="0" applyNumberFormat="1" applyFont="1" applyBorder="1"/>
    <xf numFmtId="0" fontId="4" fillId="0" borderId="9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164" fontId="4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4" fillId="0" borderId="0" xfId="0" applyNumberFormat="1" applyFont="1"/>
    <xf numFmtId="164" fontId="4" fillId="0" borderId="9" xfId="0" applyNumberFormat="1" applyFont="1" applyBorder="1"/>
    <xf numFmtId="164" fontId="9" fillId="0" borderId="4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9" fillId="0" borderId="4" xfId="0" applyNumberFormat="1" applyFont="1" applyFill="1" applyBorder="1"/>
    <xf numFmtId="164" fontId="9" fillId="0" borderId="10" xfId="0" applyNumberFormat="1" applyFont="1" applyFill="1" applyBorder="1"/>
    <xf numFmtId="164" fontId="4" fillId="0" borderId="0" xfId="0" applyNumberFormat="1" applyFont="1" applyFill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0" fontId="4" fillId="0" borderId="0" xfId="0" applyNumberFormat="1" applyFont="1" applyBorder="1" applyAlignment="1"/>
    <xf numFmtId="164" fontId="9" fillId="0" borderId="13" xfId="0" applyNumberFormat="1" applyFont="1" applyBorder="1"/>
    <xf numFmtId="165" fontId="9" fillId="0" borderId="4" xfId="1" applyNumberFormat="1" applyFont="1" applyBorder="1"/>
    <xf numFmtId="9" fontId="9" fillId="0" borderId="4" xfId="2" applyFont="1" applyBorder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Border="1" applyAlignment="1"/>
    <xf numFmtId="164" fontId="4" fillId="0" borderId="4" xfId="3" applyFont="1" applyFill="1" applyBorder="1" applyAlignment="1">
      <alignment horizontal="right"/>
    </xf>
    <xf numFmtId="164" fontId="10" fillId="0" borderId="4" xfId="3" applyFont="1" applyFill="1" applyBorder="1" applyAlignment="1">
      <alignment horizontal="right"/>
    </xf>
    <xf numFmtId="164" fontId="5" fillId="0" borderId="4" xfId="3" applyFont="1" applyFill="1" applyBorder="1" applyAlignment="1">
      <alignment horizontal="right"/>
    </xf>
    <xf numFmtId="164" fontId="4" fillId="0" borderId="4" xfId="0" applyNumberFormat="1" applyFont="1" applyFill="1" applyBorder="1"/>
    <xf numFmtId="164" fontId="4" fillId="0" borderId="10" xfId="0" applyNumberFormat="1" applyFont="1" applyFill="1" applyBorder="1"/>
    <xf numFmtId="164" fontId="4" fillId="0" borderId="0" xfId="1" applyNumberFormat="1" applyFont="1" applyFill="1" applyBorder="1"/>
    <xf numFmtId="164" fontId="4" fillId="0" borderId="13" xfId="0" applyNumberFormat="1" applyFont="1" applyBorder="1"/>
    <xf numFmtId="165" fontId="4" fillId="0" borderId="4" xfId="1" applyNumberFormat="1" applyFont="1" applyBorder="1"/>
    <xf numFmtId="9" fontId="4" fillId="0" borderId="4" xfId="2" applyFont="1" applyBorder="1"/>
    <xf numFmtId="164" fontId="4" fillId="0" borderId="0" xfId="1" applyNumberFormat="1" applyFont="1" applyFill="1" applyBorder="1" applyAlignment="1"/>
    <xf numFmtId="164" fontId="4" fillId="0" borderId="14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164" fontId="4" fillId="0" borderId="0" xfId="0" applyNumberFormat="1" applyFont="1" applyFill="1" applyBorder="1" applyAlignment="1"/>
    <xf numFmtId="164" fontId="4" fillId="0" borderId="18" xfId="0" applyNumberFormat="1" applyFont="1" applyFill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9" fillId="0" borderId="9" xfId="0" applyNumberFormat="1" applyFont="1" applyBorder="1"/>
    <xf numFmtId="164" fontId="6" fillId="0" borderId="9" xfId="0" applyNumberFormat="1" applyFont="1" applyFill="1" applyBorder="1"/>
    <xf numFmtId="164" fontId="4" fillId="0" borderId="19" xfId="0" applyNumberFormat="1" applyFont="1" applyFill="1" applyBorder="1" applyAlignment="1">
      <alignment vertical="center"/>
    </xf>
    <xf numFmtId="164" fontId="10" fillId="0" borderId="19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>
      <alignment vertical="center"/>
    </xf>
    <xf numFmtId="164" fontId="6" fillId="0" borderId="4" xfId="0" applyNumberFormat="1" applyFont="1" applyFill="1" applyBorder="1"/>
    <xf numFmtId="164" fontId="6" fillId="0" borderId="10" xfId="0" applyNumberFormat="1" applyFont="1" applyFill="1" applyBorder="1"/>
    <xf numFmtId="164" fontId="6" fillId="0" borderId="0" xfId="0" applyNumberFormat="1" applyFont="1" applyFill="1" applyBorder="1"/>
    <xf numFmtId="164" fontId="6" fillId="0" borderId="11" xfId="0" applyNumberFormat="1" applyFont="1" applyBorder="1"/>
    <xf numFmtId="164" fontId="6" fillId="0" borderId="12" xfId="0" applyNumberFormat="1" applyFont="1" applyBorder="1"/>
    <xf numFmtId="164" fontId="6" fillId="0" borderId="0" xfId="0" applyNumberFormat="1" applyFont="1" applyBorder="1" applyAlignment="1"/>
    <xf numFmtId="164" fontId="6" fillId="0" borderId="20" xfId="0" applyNumberFormat="1" applyFont="1" applyFill="1" applyBorder="1"/>
    <xf numFmtId="164" fontId="6" fillId="0" borderId="0" xfId="0" applyNumberFormat="1" applyFont="1"/>
    <xf numFmtId="164" fontId="4" fillId="0" borderId="9" xfId="0" applyNumberFormat="1" applyFont="1" applyFill="1" applyBorder="1"/>
    <xf numFmtId="0" fontId="0" fillId="0" borderId="21" xfId="0" applyBorder="1" applyAlignment="1">
      <alignment vertical="center"/>
    </xf>
    <xf numFmtId="164" fontId="6" fillId="0" borderId="19" xfId="0" applyNumberFormat="1" applyFont="1" applyFill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64" fontId="4" fillId="0" borderId="21" xfId="0" applyNumberFormat="1" applyFont="1" applyFill="1" applyBorder="1" applyAlignment="1">
      <alignment vertical="center"/>
    </xf>
    <xf numFmtId="164" fontId="10" fillId="0" borderId="0" xfId="0" applyNumberFormat="1" applyFont="1" applyFill="1" applyBorder="1"/>
    <xf numFmtId="164" fontId="5" fillId="0" borderId="0" xfId="0" applyNumberFormat="1" applyFont="1" applyFill="1" applyBorder="1"/>
    <xf numFmtId="164" fontId="10" fillId="0" borderId="4" xfId="0" applyNumberFormat="1" applyFont="1" applyFill="1" applyBorder="1"/>
    <xf numFmtId="164" fontId="5" fillId="0" borderId="4" xfId="0" applyNumberFormat="1" applyFont="1" applyFill="1" applyBorder="1"/>
    <xf numFmtId="44" fontId="10" fillId="0" borderId="22" xfId="1" applyFont="1" applyBorder="1"/>
    <xf numFmtId="44" fontId="4" fillId="0" borderId="23" xfId="1" applyFont="1" applyFill="1" applyBorder="1"/>
    <xf numFmtId="44" fontId="6" fillId="0" borderId="23" xfId="1" applyFont="1" applyFill="1" applyBorder="1"/>
    <xf numFmtId="44" fontId="6" fillId="0" borderId="24" xfId="1" applyFont="1" applyFill="1" applyBorder="1"/>
    <xf numFmtId="44" fontId="10" fillId="0" borderId="25" xfId="1" applyFont="1" applyFill="1" applyBorder="1"/>
    <xf numFmtId="44" fontId="10" fillId="0" borderId="0" xfId="1" applyFont="1" applyFill="1" applyBorder="1"/>
    <xf numFmtId="44" fontId="6" fillId="0" borderId="26" xfId="1" applyFont="1" applyBorder="1"/>
    <xf numFmtId="44" fontId="6" fillId="0" borderId="27" xfId="1" applyFont="1" applyBorder="1"/>
    <xf numFmtId="44" fontId="6" fillId="0" borderId="0" xfId="1" applyFont="1" applyBorder="1" applyAlignment="1"/>
    <xf numFmtId="44" fontId="4" fillId="0" borderId="0" xfId="1" applyFont="1"/>
    <xf numFmtId="44" fontId="10" fillId="0" borderId="0" xfId="1" applyFont="1"/>
    <xf numFmtId="164" fontId="9" fillId="0" borderId="0" xfId="0" applyNumberFormat="1" applyFont="1"/>
    <xf numFmtId="164" fontId="9" fillId="0" borderId="0" xfId="0" applyNumberFormat="1" applyFont="1" applyFill="1"/>
    <xf numFmtId="164" fontId="11" fillId="0" borderId="0" xfId="0" applyNumberFormat="1" applyFont="1" applyFill="1"/>
    <xf numFmtId="164" fontId="6" fillId="0" borderId="0" xfId="0" applyNumberFormat="1" applyFont="1" applyFill="1"/>
    <xf numFmtId="164" fontId="10" fillId="0" borderId="0" xfId="0" applyNumberFormat="1" applyFont="1" applyFill="1"/>
    <xf numFmtId="164" fontId="4" fillId="0" borderId="0" xfId="0" applyNumberFormat="1" applyFont="1" applyAlignment="1"/>
    <xf numFmtId="164" fontId="10" fillId="0" borderId="0" xfId="0" applyNumberFormat="1" applyFont="1"/>
    <xf numFmtId="165" fontId="10" fillId="0" borderId="0" xfId="1" applyNumberFormat="1" applyFont="1"/>
    <xf numFmtId="9" fontId="10" fillId="0" borderId="0" xfId="2" applyFont="1"/>
    <xf numFmtId="165" fontId="4" fillId="0" borderId="0" xfId="1" applyNumberFormat="1" applyFont="1"/>
    <xf numFmtId="9" fontId="4" fillId="0" borderId="0" xfId="2" applyFont="1"/>
    <xf numFmtId="0" fontId="4" fillId="0" borderId="4" xfId="2" applyNumberFormat="1" applyFont="1" applyFill="1" applyBorder="1" applyAlignment="1">
      <alignment horizontal="center"/>
    </xf>
    <xf numFmtId="165" fontId="4" fillId="0" borderId="0" xfId="1" applyNumberFormat="1" applyFont="1" applyAlignment="1"/>
    <xf numFmtId="9" fontId="4" fillId="0" borderId="0" xfId="2" applyFont="1" applyAlignment="1"/>
    <xf numFmtId="164" fontId="10" fillId="0" borderId="22" xfId="0" applyNumberFormat="1" applyFont="1" applyBorder="1"/>
    <xf numFmtId="166" fontId="6" fillId="0" borderId="0" xfId="0" applyNumberFormat="1" applyFont="1" applyFill="1" applyBorder="1"/>
    <xf numFmtId="166" fontId="4" fillId="0" borderId="0" xfId="0" applyNumberFormat="1" applyFont="1" applyFill="1" applyBorder="1"/>
    <xf numFmtId="0" fontId="4" fillId="0" borderId="0" xfId="2" applyNumberFormat="1" applyFont="1"/>
    <xf numFmtId="164" fontId="4" fillId="0" borderId="0" xfId="2" applyNumberFormat="1" applyFont="1"/>
  </cellXfs>
  <cellStyles count="4">
    <cellStyle name="Euro" xfId="3"/>
    <cellStyle name="Procent" xfId="2" builtinId="5"/>
    <cellStyle name="Standaard" xfId="0" builtinId="0"/>
    <cellStyle name="Valuta" xfId="1" builtinId="4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Netto  Opbrengst  Rommelmarkt Nieuwland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[1]kramen!$A$58</c:f>
              <c:strCache>
                <c:ptCount val="1"/>
                <c:pt idx="0">
                  <c:v>Netto  Opbrengst </c:v>
                </c:pt>
              </c:strCache>
            </c:strRef>
          </c:tx>
          <c:marker>
            <c:symbol val="none"/>
          </c:marker>
          <c:cat>
            <c:multiLvlStrRef>
              <c:f>[1]kramen!$B$57:$S$58</c:f>
              <c:multiLvlStrCache>
                <c:ptCount val="18"/>
                <c:lvl>
                  <c:pt idx="0">
                    <c:v> € 8.495 </c:v>
                  </c:pt>
                  <c:pt idx="1">
                    <c:v> € 7.537 </c:v>
                  </c:pt>
                  <c:pt idx="2">
                    <c:v> € 9.709 </c:v>
                  </c:pt>
                  <c:pt idx="3">
                    <c:v> € 9.491 </c:v>
                  </c:pt>
                  <c:pt idx="4">
                    <c:v> € 10.001 </c:v>
                  </c:pt>
                  <c:pt idx="5">
                    <c:v> € 10.453 </c:v>
                  </c:pt>
                  <c:pt idx="6">
                    <c:v> € 11.195 </c:v>
                  </c:pt>
                  <c:pt idx="7">
                    <c:v> € 13.030 </c:v>
                  </c:pt>
                  <c:pt idx="8">
                    <c:v> € 12.033 </c:v>
                  </c:pt>
                  <c:pt idx="9">
                    <c:v> € 10.760 </c:v>
                  </c:pt>
                  <c:pt idx="10">
                    <c:v> € 13.549,05 </c:v>
                  </c:pt>
                  <c:pt idx="11">
                    <c:v> € 12.500,55 </c:v>
                  </c:pt>
                  <c:pt idx="12">
                    <c:v> € 10.396,44 </c:v>
                  </c:pt>
                  <c:pt idx="13">
                    <c:v> € 12.969,25 </c:v>
                  </c:pt>
                  <c:pt idx="14">
                    <c:v> € 15.808,70 </c:v>
                  </c:pt>
                </c:lvl>
                <c:lvl>
                  <c:pt idx="0">
                    <c:v>2007</c:v>
                  </c:pt>
                  <c:pt idx="1">
                    <c:v>2008</c:v>
                  </c:pt>
                  <c:pt idx="2">
                    <c:v>2009</c:v>
                  </c:pt>
                  <c:pt idx="3">
                    <c:v>2010</c:v>
                  </c:pt>
                  <c:pt idx="4">
                    <c:v>2011</c:v>
                  </c:pt>
                  <c:pt idx="5">
                    <c:v>2012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2015</c:v>
                  </c:pt>
                  <c:pt idx="9">
                    <c:v>2016</c:v>
                  </c:pt>
                  <c:pt idx="10">
                    <c:v>2017</c:v>
                  </c:pt>
                  <c:pt idx="11">
                    <c:v>2018</c:v>
                  </c:pt>
                  <c:pt idx="12">
                    <c:v>2019</c:v>
                  </c:pt>
                  <c:pt idx="13">
                    <c:v>2022</c:v>
                  </c:pt>
                  <c:pt idx="14">
                    <c:v>2023</c:v>
                  </c:pt>
                  <c:pt idx="15">
                    <c:v>2024</c:v>
                  </c:pt>
                  <c:pt idx="16">
                    <c:v>2025</c:v>
                  </c:pt>
                  <c:pt idx="17">
                    <c:v>2026</c:v>
                  </c:pt>
                </c:lvl>
              </c:multiLvlStrCache>
            </c:multiLvlStrRef>
          </c:cat>
          <c:val>
            <c:numRef>
              <c:f>[1]kramen!$B$58:$S$58</c:f>
              <c:numCache>
                <c:formatCode>_-"€"\ * #,##0_-;_-"€"\ * #,##0\-;_-"€"\ * "-"??_-;_-@_-</c:formatCode>
                <c:ptCount val="18"/>
                <c:pt idx="0">
                  <c:v>8494.5400000000009</c:v>
                </c:pt>
                <c:pt idx="1">
                  <c:v>7536.76</c:v>
                </c:pt>
                <c:pt idx="2">
                  <c:v>9709.35</c:v>
                </c:pt>
                <c:pt idx="3">
                  <c:v>9491.2899999999972</c:v>
                </c:pt>
                <c:pt idx="4">
                  <c:v>10001.119999999999</c:v>
                </c:pt>
                <c:pt idx="5">
                  <c:v>10453.48</c:v>
                </c:pt>
                <c:pt idx="6">
                  <c:v>11194.839999999998</c:v>
                </c:pt>
                <c:pt idx="7">
                  <c:v>13030.139999999998</c:v>
                </c:pt>
                <c:pt idx="8">
                  <c:v>12032.830000000004</c:v>
                </c:pt>
                <c:pt idx="9">
                  <c:v>10760.46</c:v>
                </c:pt>
                <c:pt idx="10" formatCode="_-&quot;€&quot;\ * #,##0.00_-;_-&quot;€&quot;\ * #,##0.00\-;_-&quot;€&quot;\ * &quot;-&quot;??_-;_-@_-">
                  <c:v>13549.05</c:v>
                </c:pt>
                <c:pt idx="11" formatCode="_-&quot;€&quot;\ * #,##0.00_-;_-&quot;€&quot;\ * #,##0.00\-;_-&quot;€&quot;\ * &quot;-&quot;??_-;_-@_-">
                  <c:v>12500.55</c:v>
                </c:pt>
                <c:pt idx="12" formatCode="_-&quot;€&quot;\ * #,##0.00_-;_-&quot;€&quot;\ * #,##0.00\-;_-&quot;€&quot;\ * &quot;-&quot;??_-;_-@_-">
                  <c:v>10396.44</c:v>
                </c:pt>
                <c:pt idx="13" formatCode="_-&quot;€&quot;\ * #,##0.00_-;_-&quot;€&quot;\ * #,##0.00\-;_-&quot;€&quot;\ * &quot;-&quot;??_-;_-@_-">
                  <c:v>12969.250000000004</c:v>
                </c:pt>
                <c:pt idx="14" formatCode="_-&quot;€&quot;\ * #,##0.00_-;_-&quot;€&quot;\ * #,##0.00\-;_-&quot;€&quot;\ * &quot;-&quot;??_-;_-@_-">
                  <c:v>15808.699999999999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06-B541-B8EA-A01FD4F6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224648"/>
        <c:axId val="407227392"/>
      </c:lineChart>
      <c:catAx>
        <c:axId val="40722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227392"/>
        <c:crosses val="autoZero"/>
        <c:auto val="1"/>
        <c:lblAlgn val="ctr"/>
        <c:lblOffset val="100"/>
        <c:noMultiLvlLbl val="0"/>
      </c:catAx>
      <c:valAx>
        <c:axId val="407227392"/>
        <c:scaling>
          <c:orientation val="minMax"/>
        </c:scaling>
        <c:delete val="0"/>
        <c:axPos val="l"/>
        <c:majorGridlines/>
        <c:numFmt formatCode="_-&quot;€&quot;\ * #,##0_-;_-&quot;€&quot;\ * #,##0\-;_-&quot;€&quot;\ * &quot;-&quot;??_-;_-@_-" sourceLinked="1"/>
        <c:majorTickMark val="out"/>
        <c:minorTickMark val="none"/>
        <c:tickLblPos val="nextTo"/>
        <c:crossAx val="407224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59</xdr:row>
      <xdr:rowOff>114299</xdr:rowOff>
    </xdr:from>
    <xdr:to>
      <xdr:col>16</xdr:col>
      <xdr:colOff>114300</xdr:colOff>
      <xdr:row>80</xdr:row>
      <xdr:rowOff>104774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yce/Downloads/Financieel%20overzicht%20rommelmark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amen"/>
      <sheetName val="Invoer"/>
      <sheetName val="Blad1"/>
    </sheetNames>
    <sheetDataSet>
      <sheetData sheetId="0">
        <row r="57">
          <cell r="B57">
            <v>2007</v>
          </cell>
          <cell r="C57">
            <v>2008</v>
          </cell>
          <cell r="D57">
            <v>2009</v>
          </cell>
          <cell r="E57">
            <v>2010</v>
          </cell>
          <cell r="F57">
            <v>2011</v>
          </cell>
          <cell r="G57">
            <v>2012</v>
          </cell>
          <cell r="H57">
            <v>2013</v>
          </cell>
          <cell r="I57">
            <v>2014</v>
          </cell>
          <cell r="J57">
            <v>2015</v>
          </cell>
          <cell r="K57">
            <v>2016</v>
          </cell>
          <cell r="L57">
            <v>2017</v>
          </cell>
          <cell r="M57">
            <v>2018</v>
          </cell>
          <cell r="N57">
            <v>2019</v>
          </cell>
          <cell r="O57">
            <v>2022</v>
          </cell>
          <cell r="P57">
            <v>2023</v>
          </cell>
          <cell r="Q57">
            <v>2024</v>
          </cell>
          <cell r="R57">
            <v>2025</v>
          </cell>
          <cell r="S57">
            <v>2026</v>
          </cell>
        </row>
        <row r="58">
          <cell r="A58" t="str">
            <v xml:space="preserve">Netto  Opbrengst </v>
          </cell>
          <cell r="B58">
            <v>8494.5400000000009</v>
          </cell>
          <cell r="C58">
            <v>7536.76</v>
          </cell>
          <cell r="D58">
            <v>9709.35</v>
          </cell>
          <cell r="E58">
            <v>9491.2899999999972</v>
          </cell>
          <cell r="F58">
            <v>10001.119999999999</v>
          </cell>
          <cell r="G58">
            <v>10453.48</v>
          </cell>
          <cell r="H58">
            <v>11194.839999999998</v>
          </cell>
          <cell r="I58">
            <v>13030.139999999998</v>
          </cell>
          <cell r="J58">
            <v>12032.830000000004</v>
          </cell>
          <cell r="K58">
            <v>10760.46</v>
          </cell>
          <cell r="L58">
            <v>13549.05</v>
          </cell>
          <cell r="M58">
            <v>12500.55</v>
          </cell>
          <cell r="N58">
            <v>10396.44</v>
          </cell>
          <cell r="O58">
            <v>12969.250000000004</v>
          </cell>
          <cell r="P58">
            <v>15808.699999999999</v>
          </cell>
        </row>
      </sheetData>
      <sheetData sheetId="1">
        <row r="5">
          <cell r="T5">
            <v>117.2</v>
          </cell>
          <cell r="V5">
            <v>-25.4</v>
          </cell>
        </row>
        <row r="6">
          <cell r="T6">
            <v>1480.95</v>
          </cell>
          <cell r="V6">
            <v>-90.8</v>
          </cell>
        </row>
        <row r="7">
          <cell r="T7">
            <v>258</v>
          </cell>
          <cell r="V7">
            <v>-41.4</v>
          </cell>
        </row>
        <row r="8">
          <cell r="T8">
            <v>1277.2</v>
          </cell>
          <cell r="V8">
            <v>-219</v>
          </cell>
        </row>
        <row r="9">
          <cell r="T9">
            <v>1282.0999999999999</v>
          </cell>
          <cell r="V9">
            <v>-93</v>
          </cell>
        </row>
        <row r="10">
          <cell r="T10">
            <v>845.25</v>
          </cell>
          <cell r="V10">
            <v>-213.5</v>
          </cell>
        </row>
        <row r="11">
          <cell r="T11">
            <v>523.04999999999995</v>
          </cell>
          <cell r="V11">
            <v>-70.400000000000006</v>
          </cell>
        </row>
        <row r="12">
          <cell r="T12">
            <v>1045.5999999999999</v>
          </cell>
          <cell r="V12">
            <v>-82.7</v>
          </cell>
        </row>
        <row r="13">
          <cell r="T13">
            <v>897.6</v>
          </cell>
          <cell r="V13">
            <v>-87.5</v>
          </cell>
          <cell r="X13">
            <v>-350</v>
          </cell>
        </row>
        <row r="14">
          <cell r="T14">
            <v>1707.85</v>
          </cell>
          <cell r="V14">
            <v>-380.3</v>
          </cell>
        </row>
        <row r="15">
          <cell r="T15">
            <v>432.3</v>
          </cell>
          <cell r="V15">
            <v>-72.8</v>
          </cell>
        </row>
        <row r="16">
          <cell r="T16">
            <v>774.25</v>
          </cell>
          <cell r="V16">
            <v>-111.5</v>
          </cell>
        </row>
        <row r="17">
          <cell r="T17">
            <v>1939.85</v>
          </cell>
          <cell r="V17">
            <v>-120</v>
          </cell>
        </row>
        <row r="18">
          <cell r="T18">
            <v>10</v>
          </cell>
        </row>
        <row r="19">
          <cell r="T19">
            <v>1579.4</v>
          </cell>
          <cell r="V19">
            <v>-90</v>
          </cell>
          <cell r="X19">
            <v>-910</v>
          </cell>
        </row>
        <row r="20">
          <cell r="T20">
            <v>1146</v>
          </cell>
          <cell r="V20">
            <v>-69.5</v>
          </cell>
        </row>
        <row r="21">
          <cell r="T21">
            <v>0</v>
          </cell>
        </row>
        <row r="22">
          <cell r="T22">
            <v>210.5</v>
          </cell>
          <cell r="V22">
            <v>-36.4</v>
          </cell>
        </row>
        <row r="23">
          <cell r="T23">
            <v>0</v>
          </cell>
          <cell r="V23">
            <v>0</v>
          </cell>
        </row>
        <row r="24">
          <cell r="T24">
            <v>382.4</v>
          </cell>
          <cell r="V24">
            <v>-87.6</v>
          </cell>
        </row>
        <row r="25">
          <cell r="T25">
            <v>740.65</v>
          </cell>
          <cell r="V25">
            <v>-337.5</v>
          </cell>
        </row>
        <row r="26">
          <cell r="T26">
            <v>895.8</v>
          </cell>
          <cell r="V26">
            <v>-182.7</v>
          </cell>
        </row>
        <row r="27">
          <cell r="T27">
            <v>500</v>
          </cell>
          <cell r="V27">
            <v>-60.4</v>
          </cell>
        </row>
        <row r="28">
          <cell r="T28">
            <v>192.25</v>
          </cell>
          <cell r="V28">
            <v>-40</v>
          </cell>
        </row>
        <row r="29">
          <cell r="T29">
            <v>130.15</v>
          </cell>
          <cell r="V29">
            <v>-25.4</v>
          </cell>
        </row>
        <row r="30">
          <cell r="T30">
            <v>352.6</v>
          </cell>
          <cell r="V30">
            <v>-36</v>
          </cell>
        </row>
        <row r="32">
          <cell r="T32">
            <v>366.1</v>
          </cell>
          <cell r="V32">
            <v>-32.1</v>
          </cell>
        </row>
        <row r="33">
          <cell r="T33">
            <v>1095.9000000000001</v>
          </cell>
          <cell r="V33">
            <v>-117</v>
          </cell>
        </row>
        <row r="34">
          <cell r="P34">
            <v>78.3</v>
          </cell>
          <cell r="V34">
            <v>-27</v>
          </cell>
        </row>
        <row r="35">
          <cell r="T35">
            <v>385.1</v>
          </cell>
          <cell r="V35">
            <v>-31.1</v>
          </cell>
        </row>
        <row r="36">
          <cell r="T36">
            <v>0</v>
          </cell>
          <cell r="V36">
            <v>0</v>
          </cell>
        </row>
        <row r="37">
          <cell r="T37">
            <v>0</v>
          </cell>
          <cell r="X37">
            <v>-798.15</v>
          </cell>
          <cell r="Z37">
            <v>-798.15</v>
          </cell>
        </row>
        <row r="38">
          <cell r="V38">
            <v>0</v>
          </cell>
        </row>
        <row r="39">
          <cell r="Z39">
            <v>1.5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2"/>
  <sheetViews>
    <sheetView tabSelected="1" workbookViewId="0">
      <selection activeCell="E6" sqref="E6"/>
    </sheetView>
  </sheetViews>
  <sheetFormatPr defaultColWidth="26.7109375" defaultRowHeight="12" x14ac:dyDescent="0.2"/>
  <cols>
    <col min="1" max="1" width="23.28515625" style="7" customWidth="1"/>
    <col min="2" max="2" width="11.42578125" style="4" bestFit="1" customWidth="1"/>
    <col min="3" max="4" width="11.42578125" style="4" customWidth="1"/>
    <col min="5" max="5" width="14.42578125" style="111" bestFit="1" customWidth="1"/>
    <col min="6" max="6" width="14.42578125" style="111" customWidth="1"/>
    <col min="7" max="7" width="14.42578125" style="4" customWidth="1"/>
    <col min="8" max="8" width="14.42578125" style="111" customWidth="1"/>
    <col min="9" max="9" width="13" style="111" customWidth="1"/>
    <col min="10" max="10" width="13" style="4" customWidth="1"/>
    <col min="11" max="13" width="11.85546875" style="4" customWidth="1"/>
    <col min="14" max="14" width="12.42578125" style="4" bestFit="1" customWidth="1"/>
    <col min="15" max="16" width="11.85546875" style="4" customWidth="1"/>
    <col min="17" max="17" width="11.5703125" style="4" customWidth="1"/>
    <col min="18" max="18" width="12.42578125" style="4" customWidth="1"/>
    <col min="19" max="19" width="12.28515625" style="4" customWidth="1"/>
    <col min="20" max="21" width="11.42578125" style="4" hidden="1" customWidth="1"/>
    <col min="22" max="22" width="9" style="4" hidden="1" customWidth="1"/>
    <col min="23" max="23" width="11.85546875" style="4" hidden="1" customWidth="1"/>
    <col min="24" max="24" width="10.42578125" style="4" hidden="1" customWidth="1"/>
    <col min="25" max="25" width="11.85546875" style="4" hidden="1" customWidth="1"/>
    <col min="26" max="26" width="11.42578125" style="4" hidden="1" customWidth="1"/>
    <col min="27" max="28" width="0.140625" style="4" hidden="1" customWidth="1"/>
    <col min="29" max="29" width="0.28515625" style="4" hidden="1" customWidth="1"/>
    <col min="30" max="30" width="1.5703125" style="4" hidden="1" customWidth="1"/>
    <col min="31" max="31" width="3.85546875" style="4" hidden="1" customWidth="1"/>
    <col min="32" max="32" width="10.85546875" style="7" hidden="1" customWidth="1"/>
    <col min="33" max="33" width="0.140625" style="7" hidden="1" customWidth="1"/>
    <col min="34" max="34" width="11.5703125" style="120" bestFit="1" customWidth="1"/>
    <col min="35" max="35" width="11.42578125" style="121" bestFit="1" customWidth="1"/>
    <col min="36" max="36" width="11.85546875" style="7" customWidth="1"/>
    <col min="37" max="37" width="11.42578125" style="7" bestFit="1" customWidth="1"/>
    <col min="38" max="38" width="7.42578125" style="7" bestFit="1" customWidth="1"/>
    <col min="39" max="43" width="10.42578125" style="7" bestFit="1" customWidth="1"/>
    <col min="44" max="16384" width="26.7109375" style="7"/>
  </cols>
  <sheetData>
    <row r="1" spans="1:38" ht="5.25" customHeight="1" thickBot="1" x14ac:dyDescent="0.35">
      <c r="A1" s="1"/>
      <c r="B1" s="2"/>
      <c r="C1" s="2"/>
      <c r="D1" s="2"/>
      <c r="E1" s="2"/>
      <c r="F1" s="2"/>
      <c r="G1" s="3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D1" s="2"/>
      <c r="AE1" s="2"/>
      <c r="AF1" s="1"/>
      <c r="AG1" s="1"/>
      <c r="AH1" s="5"/>
      <c r="AI1" s="6"/>
    </row>
    <row r="2" spans="1:38" ht="15.75" thickTop="1" x14ac:dyDescent="0.25">
      <c r="A2" s="8" t="s">
        <v>0</v>
      </c>
      <c r="B2" s="9"/>
      <c r="C2" s="9"/>
      <c r="D2" s="9"/>
      <c r="E2" s="10"/>
      <c r="F2" s="10"/>
      <c r="G2" s="9"/>
      <c r="H2" s="10"/>
      <c r="I2" s="10"/>
      <c r="J2" s="9"/>
      <c r="K2" s="11"/>
      <c r="L2" s="11"/>
      <c r="M2" s="11"/>
      <c r="N2" s="11"/>
      <c r="O2" s="11"/>
      <c r="P2" s="11"/>
      <c r="Q2" s="11"/>
      <c r="R2" s="11"/>
      <c r="S2" s="11"/>
      <c r="T2" s="9"/>
      <c r="U2" s="9"/>
      <c r="V2" s="9"/>
      <c r="W2" s="9"/>
      <c r="X2" s="9"/>
      <c r="Y2" s="9"/>
      <c r="Z2" s="12"/>
      <c r="AA2" s="12"/>
      <c r="AB2" s="12"/>
      <c r="AC2" s="13"/>
      <c r="AD2" s="14"/>
      <c r="AE2" s="15"/>
      <c r="AF2" s="16"/>
      <c r="AH2" s="17" t="s">
        <v>1</v>
      </c>
      <c r="AI2" s="17"/>
    </row>
    <row r="3" spans="1:38" ht="14.25" customHeight="1" x14ac:dyDescent="0.25">
      <c r="A3" s="18"/>
      <c r="B3" s="19"/>
      <c r="C3" s="20"/>
      <c r="D3" s="20"/>
      <c r="E3" s="21"/>
      <c r="F3" s="21"/>
      <c r="G3" s="20"/>
      <c r="H3" s="21"/>
      <c r="I3" s="21"/>
      <c r="J3" s="20"/>
      <c r="K3" s="22"/>
      <c r="L3" s="22"/>
      <c r="M3" s="22"/>
      <c r="N3" s="22"/>
      <c r="O3" s="22"/>
      <c r="P3" s="22"/>
      <c r="Q3" s="22"/>
      <c r="R3" s="22"/>
      <c r="S3" s="22"/>
      <c r="T3" s="19"/>
      <c r="U3" s="19"/>
      <c r="V3" s="19"/>
      <c r="W3" s="19"/>
      <c r="X3" s="19"/>
      <c r="Y3" s="19"/>
      <c r="Z3" s="23"/>
      <c r="AA3" s="23"/>
      <c r="AB3" s="24"/>
      <c r="AC3" s="14"/>
      <c r="AD3" s="14"/>
      <c r="AE3" s="25"/>
      <c r="AF3" s="26"/>
      <c r="AH3" s="17" t="s">
        <v>2</v>
      </c>
      <c r="AI3" s="17"/>
    </row>
    <row r="4" spans="1:38" s="37" customFormat="1" ht="14.25" customHeight="1" x14ac:dyDescent="0.25">
      <c r="A4" s="27"/>
      <c r="B4" s="28">
        <v>2023</v>
      </c>
      <c r="C4" s="28">
        <v>2023</v>
      </c>
      <c r="D4" s="28">
        <f>C4</f>
        <v>2023</v>
      </c>
      <c r="E4" s="29">
        <f>D4</f>
        <v>2023</v>
      </c>
      <c r="F4" s="29">
        <v>2022</v>
      </c>
      <c r="G4" s="28">
        <v>2019</v>
      </c>
      <c r="H4" s="28">
        <v>2018</v>
      </c>
      <c r="I4" s="28">
        <v>2017</v>
      </c>
      <c r="J4" s="28">
        <v>2016</v>
      </c>
      <c r="K4" s="28">
        <v>2015</v>
      </c>
      <c r="L4" s="28">
        <v>2014</v>
      </c>
      <c r="M4" s="28">
        <v>2013</v>
      </c>
      <c r="N4" s="28">
        <v>2012</v>
      </c>
      <c r="O4" s="28">
        <v>2011</v>
      </c>
      <c r="P4" s="28">
        <v>2010</v>
      </c>
      <c r="Q4" s="28">
        <v>2009</v>
      </c>
      <c r="R4" s="28">
        <v>2008</v>
      </c>
      <c r="S4" s="28">
        <v>2007</v>
      </c>
      <c r="T4" s="28">
        <v>2005</v>
      </c>
      <c r="U4" s="28">
        <v>2005</v>
      </c>
      <c r="V4" s="28">
        <v>2005</v>
      </c>
      <c r="W4" s="28">
        <v>2005</v>
      </c>
      <c r="X4" s="30">
        <v>2004</v>
      </c>
      <c r="Y4" s="30">
        <v>2004</v>
      </c>
      <c r="Z4" s="30">
        <v>2004</v>
      </c>
      <c r="AA4" s="30">
        <v>2004</v>
      </c>
      <c r="AB4" s="31"/>
      <c r="AC4" s="32"/>
      <c r="AD4" s="33"/>
      <c r="AE4" s="34"/>
      <c r="AF4" s="35"/>
      <c r="AG4" s="7"/>
      <c r="AH4" s="36">
        <v>2022</v>
      </c>
      <c r="AI4" s="36"/>
      <c r="AJ4" s="7"/>
      <c r="AK4" s="7"/>
      <c r="AL4" s="7"/>
    </row>
    <row r="5" spans="1:38" ht="14.25" customHeight="1" x14ac:dyDescent="0.2">
      <c r="A5" s="38"/>
      <c r="B5" s="39" t="s">
        <v>3</v>
      </c>
      <c r="C5" s="39" t="s">
        <v>4</v>
      </c>
      <c r="D5" s="39" t="s">
        <v>5</v>
      </c>
      <c r="E5" s="40" t="s">
        <v>6</v>
      </c>
      <c r="F5" s="40" t="s">
        <v>6</v>
      </c>
      <c r="G5" s="41" t="s">
        <v>6</v>
      </c>
      <c r="H5" s="41" t="s">
        <v>6</v>
      </c>
      <c r="I5" s="41" t="s">
        <v>6</v>
      </c>
      <c r="J5" s="41" t="s">
        <v>6</v>
      </c>
      <c r="K5" s="42" t="s">
        <v>6</v>
      </c>
      <c r="L5" s="42" t="s">
        <v>6</v>
      </c>
      <c r="M5" s="42" t="s">
        <v>6</v>
      </c>
      <c r="N5" s="42" t="s">
        <v>6</v>
      </c>
      <c r="O5" s="42" t="s">
        <v>6</v>
      </c>
      <c r="P5" s="42" t="s">
        <v>6</v>
      </c>
      <c r="Q5" s="42" t="s">
        <v>6</v>
      </c>
      <c r="R5" s="42" t="s">
        <v>7</v>
      </c>
      <c r="S5" s="42" t="s">
        <v>8</v>
      </c>
      <c r="T5" s="39" t="s">
        <v>3</v>
      </c>
      <c r="U5" s="39" t="s">
        <v>9</v>
      </c>
      <c r="V5" s="39" t="s">
        <v>10</v>
      </c>
      <c r="W5" s="39" t="s">
        <v>11</v>
      </c>
      <c r="X5" s="43" t="s">
        <v>12</v>
      </c>
      <c r="Y5" s="43" t="s">
        <v>13</v>
      </c>
      <c r="Z5" s="43" t="s">
        <v>3</v>
      </c>
      <c r="AA5" s="43" t="s">
        <v>14</v>
      </c>
      <c r="AB5" s="44"/>
      <c r="AC5" s="45"/>
      <c r="AD5" s="46" t="s">
        <v>15</v>
      </c>
      <c r="AE5" s="47"/>
      <c r="AF5" s="48"/>
      <c r="AG5" s="49"/>
      <c r="AH5" s="50" t="s">
        <v>16</v>
      </c>
      <c r="AI5" s="51" t="s">
        <v>17</v>
      </c>
    </row>
    <row r="6" spans="1:38" ht="14.25" customHeight="1" x14ac:dyDescent="0.2">
      <c r="A6" s="38"/>
      <c r="B6" s="39" t="s">
        <v>18</v>
      </c>
      <c r="C6" s="52"/>
      <c r="D6" s="52"/>
      <c r="E6" s="40" t="s">
        <v>18</v>
      </c>
      <c r="F6" s="40" t="s">
        <v>18</v>
      </c>
      <c r="G6" s="41" t="s">
        <v>18</v>
      </c>
      <c r="H6" s="41" t="s">
        <v>18</v>
      </c>
      <c r="I6" s="41" t="s">
        <v>18</v>
      </c>
      <c r="J6" s="41" t="s">
        <v>18</v>
      </c>
      <c r="K6" s="42" t="s">
        <v>18</v>
      </c>
      <c r="L6" s="42" t="s">
        <v>18</v>
      </c>
      <c r="M6" s="42" t="s">
        <v>18</v>
      </c>
      <c r="N6" s="42" t="s">
        <v>18</v>
      </c>
      <c r="O6" s="42" t="s">
        <v>18</v>
      </c>
      <c r="P6" s="42" t="s">
        <v>18</v>
      </c>
      <c r="Q6" s="42" t="s">
        <v>18</v>
      </c>
      <c r="R6" s="42" t="s">
        <v>18</v>
      </c>
      <c r="S6" s="42" t="s">
        <v>18</v>
      </c>
      <c r="T6" s="39" t="s">
        <v>18</v>
      </c>
      <c r="U6" s="39"/>
      <c r="V6" s="39"/>
      <c r="W6" s="39" t="s">
        <v>19</v>
      </c>
      <c r="X6" s="43" t="s">
        <v>18</v>
      </c>
      <c r="Y6" s="43" t="s">
        <v>19</v>
      </c>
      <c r="Z6" s="43" t="s">
        <v>18</v>
      </c>
      <c r="AA6" s="43" t="s">
        <v>19</v>
      </c>
      <c r="AB6" s="44"/>
      <c r="AC6" s="45"/>
      <c r="AD6" s="46" t="s">
        <v>16</v>
      </c>
      <c r="AE6" s="47"/>
      <c r="AF6" s="53"/>
      <c r="AG6" s="49"/>
      <c r="AH6" s="50"/>
      <c r="AI6" s="51"/>
    </row>
    <row r="7" spans="1:38" ht="14.25" customHeight="1" x14ac:dyDescent="0.2">
      <c r="A7" s="38" t="s">
        <v>20</v>
      </c>
      <c r="B7" s="54">
        <f>[1]Invoer!T5</f>
        <v>117.2</v>
      </c>
      <c r="C7" s="54">
        <f>[1]Invoer!V5</f>
        <v>-25.4</v>
      </c>
      <c r="D7" s="54">
        <f>[1]Invoer!X5</f>
        <v>0</v>
      </c>
      <c r="E7" s="55">
        <f t="shared" ref="E7:F36" si="0">B7+C7+D7</f>
        <v>91.800000000000011</v>
      </c>
      <c r="F7" s="55">
        <v>73</v>
      </c>
      <c r="G7" s="56">
        <v>106.55</v>
      </c>
      <c r="H7" s="56">
        <v>88.65</v>
      </c>
      <c r="I7" s="56">
        <v>61.55</v>
      </c>
      <c r="J7" s="56">
        <v>59.05</v>
      </c>
      <c r="K7" s="57">
        <v>97.954222257649889</v>
      </c>
      <c r="L7" s="57">
        <v>95.300000000000011</v>
      </c>
      <c r="M7" s="57">
        <v>83.25</v>
      </c>
      <c r="N7" s="57">
        <v>103.44999999999999</v>
      </c>
      <c r="O7" s="57">
        <v>85.199999999999989</v>
      </c>
      <c r="P7" s="57">
        <v>82.199999999999989</v>
      </c>
      <c r="Q7" s="57">
        <v>90.95</v>
      </c>
      <c r="R7" s="57">
        <v>59.89</v>
      </c>
      <c r="S7" s="57">
        <v>110.8</v>
      </c>
      <c r="T7" s="57">
        <v>413.8</v>
      </c>
      <c r="U7" s="57">
        <v>27</v>
      </c>
      <c r="V7" s="57"/>
      <c r="W7" s="57">
        <f>U7+V7</f>
        <v>27</v>
      </c>
      <c r="X7" s="57">
        <f>150+150+83.7</f>
        <v>383.7</v>
      </c>
      <c r="Y7" s="57">
        <f>27+50</f>
        <v>77</v>
      </c>
      <c r="Z7" s="57">
        <v>554.87</v>
      </c>
      <c r="AA7" s="57">
        <v>27</v>
      </c>
      <c r="AB7" s="58"/>
      <c r="AC7" s="59"/>
      <c r="AD7" s="46">
        <v>50.6</v>
      </c>
      <c r="AE7" s="47"/>
      <c r="AF7" s="53"/>
      <c r="AG7" s="60"/>
      <c r="AH7" s="61">
        <f>F7</f>
        <v>73</v>
      </c>
      <c r="AI7" s="62">
        <f>(E7/F7)-1</f>
        <v>0.25753424657534252</v>
      </c>
    </row>
    <row r="8" spans="1:38" ht="14.25" customHeight="1" x14ac:dyDescent="0.2">
      <c r="A8" s="38" t="s">
        <v>21</v>
      </c>
      <c r="B8" s="54">
        <f>[1]Invoer!T6</f>
        <v>1480.95</v>
      </c>
      <c r="C8" s="54">
        <f>[1]Invoer!V6</f>
        <v>-90.8</v>
      </c>
      <c r="D8" s="54">
        <f>[1]Invoer!X6</f>
        <v>0</v>
      </c>
      <c r="E8" s="55">
        <f t="shared" si="0"/>
        <v>1390.15</v>
      </c>
      <c r="F8" s="55">
        <v>1009.2</v>
      </c>
      <c r="G8" s="56">
        <v>1063.4000000000001</v>
      </c>
      <c r="H8" s="56">
        <v>944.6</v>
      </c>
      <c r="I8" s="56">
        <v>787.5</v>
      </c>
      <c r="J8" s="56">
        <v>604.23</v>
      </c>
      <c r="K8" s="57">
        <v>893.47063276571589</v>
      </c>
      <c r="L8" s="57">
        <v>776</v>
      </c>
      <c r="M8" s="57">
        <v>964.12000000000012</v>
      </c>
      <c r="N8" s="57">
        <v>761.40000000000009</v>
      </c>
      <c r="O8" s="57">
        <v>812.05000000000007</v>
      </c>
      <c r="P8" s="57">
        <v>705.82</v>
      </c>
      <c r="Q8" s="57">
        <v>623</v>
      </c>
      <c r="R8" s="57">
        <v>689.15</v>
      </c>
      <c r="S8" s="57">
        <v>638.54999999999995</v>
      </c>
      <c r="T8" s="57"/>
      <c r="U8" s="57"/>
      <c r="V8" s="57"/>
      <c r="W8" s="57">
        <f t="shared" ref="W8:W32" si="1">U8+V8</f>
        <v>0</v>
      </c>
      <c r="X8" s="57">
        <f>15+89.91</f>
        <v>104.91</v>
      </c>
      <c r="Y8" s="57">
        <v>27</v>
      </c>
      <c r="Z8" s="57">
        <v>77.75</v>
      </c>
      <c r="AA8" s="57">
        <v>27</v>
      </c>
      <c r="AB8" s="58"/>
      <c r="AC8" s="59"/>
      <c r="AD8" s="46">
        <v>-76.930000000000007</v>
      </c>
      <c r="AE8" s="47"/>
      <c r="AF8" s="53"/>
      <c r="AG8" s="60"/>
      <c r="AH8" s="61">
        <f t="shared" ref="AH8:AH48" si="2">F8</f>
        <v>1009.2</v>
      </c>
      <c r="AI8" s="62">
        <f t="shared" ref="AI8:AI48" si="3">(E8/F8)-1</f>
        <v>0.3774772096710266</v>
      </c>
    </row>
    <row r="9" spans="1:38" ht="14.25" customHeight="1" x14ac:dyDescent="0.2">
      <c r="A9" s="38" t="s">
        <v>22</v>
      </c>
      <c r="B9" s="54">
        <f>[1]Invoer!T7</f>
        <v>258</v>
      </c>
      <c r="C9" s="54">
        <f>[1]Invoer!V7</f>
        <v>-41.4</v>
      </c>
      <c r="D9" s="54">
        <f>[1]Invoer!X7</f>
        <v>0</v>
      </c>
      <c r="E9" s="55">
        <f t="shared" si="0"/>
        <v>216.6</v>
      </c>
      <c r="F9" s="55">
        <v>167.14</v>
      </c>
      <c r="G9" s="56">
        <v>127.7</v>
      </c>
      <c r="H9" s="56">
        <v>192.3</v>
      </c>
      <c r="I9" s="56">
        <v>145.15</v>
      </c>
      <c r="J9" s="56">
        <v>176.4</v>
      </c>
      <c r="K9" s="57">
        <v>214.81732919161828</v>
      </c>
      <c r="L9" s="57">
        <v>185.3</v>
      </c>
      <c r="M9" s="57">
        <v>118.65</v>
      </c>
      <c r="N9" s="57">
        <v>96.02000000000001</v>
      </c>
      <c r="O9" s="57">
        <v>159.41</v>
      </c>
      <c r="P9" s="57">
        <v>95.899999999999991</v>
      </c>
      <c r="Q9" s="57">
        <v>269.7</v>
      </c>
      <c r="R9" s="57">
        <v>170.3</v>
      </c>
      <c r="S9" s="57">
        <v>236.15</v>
      </c>
      <c r="T9" s="57"/>
      <c r="U9" s="57"/>
      <c r="V9" s="57"/>
      <c r="W9" s="57">
        <f t="shared" si="1"/>
        <v>0</v>
      </c>
      <c r="X9" s="57">
        <f>15+89.91</f>
        <v>104.91</v>
      </c>
      <c r="Y9" s="57">
        <v>27</v>
      </c>
      <c r="Z9" s="57">
        <v>77.75</v>
      </c>
      <c r="AA9" s="57">
        <v>27</v>
      </c>
      <c r="AB9" s="58"/>
      <c r="AC9" s="59"/>
      <c r="AD9" s="46">
        <v>-76.930000000000007</v>
      </c>
      <c r="AE9" s="47"/>
      <c r="AF9" s="53"/>
      <c r="AG9" s="60"/>
      <c r="AH9" s="61">
        <f t="shared" si="2"/>
        <v>167.14</v>
      </c>
      <c r="AI9" s="62">
        <f t="shared" si="3"/>
        <v>0.29591958836903198</v>
      </c>
    </row>
    <row r="10" spans="1:38" ht="14.25" customHeight="1" x14ac:dyDescent="0.2">
      <c r="A10" s="38" t="s">
        <v>23</v>
      </c>
      <c r="B10" s="54">
        <f>[1]Invoer!T8</f>
        <v>1277.2</v>
      </c>
      <c r="C10" s="54">
        <f>[1]Invoer!V8</f>
        <v>-219</v>
      </c>
      <c r="D10" s="54">
        <f>[1]Invoer!X8</f>
        <v>0</v>
      </c>
      <c r="E10" s="55">
        <f t="shared" si="0"/>
        <v>1058.2</v>
      </c>
      <c r="F10" s="55">
        <v>781.4</v>
      </c>
      <c r="G10" s="56">
        <v>750.35</v>
      </c>
      <c r="H10" s="56">
        <v>1018.25</v>
      </c>
      <c r="I10" s="56">
        <v>1079.55</v>
      </c>
      <c r="J10" s="56">
        <v>940.45</v>
      </c>
      <c r="K10" s="57">
        <v>1036.9405036567991</v>
      </c>
      <c r="L10" s="57">
        <v>1009.53</v>
      </c>
      <c r="M10" s="57">
        <v>942.38999999999987</v>
      </c>
      <c r="N10" s="57">
        <v>717.8</v>
      </c>
      <c r="O10" s="57">
        <v>901.32</v>
      </c>
      <c r="P10" s="57">
        <v>829.76</v>
      </c>
      <c r="Q10" s="57">
        <v>911.6</v>
      </c>
      <c r="R10" s="57">
        <v>653.45000000000005</v>
      </c>
      <c r="S10" s="57">
        <v>802.05</v>
      </c>
      <c r="T10" s="57">
        <v>601.41999999999996</v>
      </c>
      <c r="U10" s="57">
        <v>54</v>
      </c>
      <c r="V10" s="57"/>
      <c r="W10" s="57">
        <f t="shared" si="1"/>
        <v>54</v>
      </c>
      <c r="X10" s="57">
        <f>125+115+100+78.49+97.36</f>
        <v>515.85</v>
      </c>
      <c r="Y10" s="57">
        <v>54</v>
      </c>
      <c r="Z10" s="57">
        <v>622.05999999999995</v>
      </c>
      <c r="AA10" s="57">
        <v>54</v>
      </c>
      <c r="AB10" s="58"/>
      <c r="AC10" s="59"/>
      <c r="AD10" s="46">
        <v>-72.22</v>
      </c>
      <c r="AE10" s="47"/>
      <c r="AF10" s="53"/>
      <c r="AG10" s="60"/>
      <c r="AH10" s="61">
        <f t="shared" si="2"/>
        <v>781.4</v>
      </c>
      <c r="AI10" s="62">
        <f t="shared" si="3"/>
        <v>0.35423598669055556</v>
      </c>
    </row>
    <row r="11" spans="1:38" ht="14.25" customHeight="1" x14ac:dyDescent="0.2">
      <c r="A11" s="38" t="s">
        <v>24</v>
      </c>
      <c r="B11" s="54">
        <f>[1]Invoer!T9</f>
        <v>1282.0999999999999</v>
      </c>
      <c r="C11" s="54">
        <f>[1]Invoer!V9</f>
        <v>-93</v>
      </c>
      <c r="D11" s="54">
        <f>[1]Invoer!X9</f>
        <v>0</v>
      </c>
      <c r="E11" s="55">
        <f t="shared" si="0"/>
        <v>1189.0999999999999</v>
      </c>
      <c r="F11" s="55">
        <v>879.75</v>
      </c>
      <c r="G11" s="56">
        <v>677.15</v>
      </c>
      <c r="H11" s="56">
        <v>746.4</v>
      </c>
      <c r="I11" s="56">
        <v>1025.2</v>
      </c>
      <c r="J11" s="56">
        <v>376.9</v>
      </c>
      <c r="K11" s="57">
        <v>178.8077865156784</v>
      </c>
      <c r="L11" s="57">
        <v>381.06</v>
      </c>
      <c r="M11" s="57">
        <v>436.1</v>
      </c>
      <c r="N11" s="57">
        <v>332.9</v>
      </c>
      <c r="O11" s="57">
        <v>249.39999999999998</v>
      </c>
      <c r="P11" s="57">
        <v>814</v>
      </c>
      <c r="Q11" s="57">
        <v>321.68</v>
      </c>
      <c r="R11" s="57"/>
      <c r="S11" s="57"/>
      <c r="T11" s="57">
        <v>74.97</v>
      </c>
      <c r="U11" s="57">
        <v>27</v>
      </c>
      <c r="V11" s="57"/>
      <c r="W11" s="57">
        <f t="shared" si="1"/>
        <v>27</v>
      </c>
      <c r="X11" s="57">
        <f>25+30+29.69</f>
        <v>84.69</v>
      </c>
      <c r="Y11" s="57">
        <v>27</v>
      </c>
      <c r="Z11" s="57">
        <v>78.66</v>
      </c>
      <c r="AA11" s="57">
        <v>27</v>
      </c>
      <c r="AB11" s="58"/>
      <c r="AC11" s="59"/>
      <c r="AD11" s="46">
        <v>-50.91</v>
      </c>
      <c r="AE11" s="47"/>
      <c r="AF11" s="53"/>
      <c r="AG11" s="60"/>
      <c r="AH11" s="61">
        <f t="shared" si="2"/>
        <v>879.75</v>
      </c>
      <c r="AI11" s="62">
        <f t="shared" si="3"/>
        <v>0.35163398692810444</v>
      </c>
    </row>
    <row r="12" spans="1:38" ht="14.25" customHeight="1" x14ac:dyDescent="0.2">
      <c r="A12" s="38" t="s">
        <v>25</v>
      </c>
      <c r="B12" s="54">
        <f>[1]Invoer!T10</f>
        <v>845.25</v>
      </c>
      <c r="C12" s="54">
        <f>[1]Invoer!V10</f>
        <v>-213.5</v>
      </c>
      <c r="D12" s="54">
        <f>[1]Invoer!X10</f>
        <v>0</v>
      </c>
      <c r="E12" s="55">
        <f t="shared" si="0"/>
        <v>631.75</v>
      </c>
      <c r="F12" s="55">
        <v>458.1</v>
      </c>
      <c r="G12" s="56">
        <v>376.87</v>
      </c>
      <c r="H12" s="56">
        <v>587.65</v>
      </c>
      <c r="I12" s="56">
        <v>755.6</v>
      </c>
      <c r="J12" s="56">
        <v>364.6</v>
      </c>
      <c r="K12" s="57">
        <v>636.18580848138231</v>
      </c>
      <c r="L12" s="57">
        <v>640.20000000000005</v>
      </c>
      <c r="M12" s="57">
        <v>512.15</v>
      </c>
      <c r="N12" s="57">
        <v>524.31999999999994</v>
      </c>
      <c r="O12" s="57">
        <v>517.75</v>
      </c>
      <c r="P12" s="57">
        <v>458.01</v>
      </c>
      <c r="Q12" s="57">
        <v>558.45000000000005</v>
      </c>
      <c r="R12" s="57">
        <v>405.02</v>
      </c>
      <c r="S12" s="57">
        <v>451.25</v>
      </c>
      <c r="T12" s="57">
        <v>241.5</v>
      </c>
      <c r="U12" s="57">
        <v>27</v>
      </c>
      <c r="V12" s="57">
        <v>27.67</v>
      </c>
      <c r="W12" s="57">
        <f t="shared" si="1"/>
        <v>54.67</v>
      </c>
      <c r="X12" s="57">
        <f>220.5+53</f>
        <v>273.5</v>
      </c>
      <c r="Y12" s="57">
        <f>27+26</f>
        <v>53</v>
      </c>
      <c r="Z12" s="57">
        <v>235.2</v>
      </c>
      <c r="AA12" s="57">
        <v>48.25</v>
      </c>
      <c r="AB12" s="58"/>
      <c r="AC12" s="45"/>
      <c r="AD12" s="46">
        <v>16.59</v>
      </c>
      <c r="AE12" s="47"/>
      <c r="AF12" s="53"/>
      <c r="AG12" s="60"/>
      <c r="AH12" s="61">
        <f t="shared" si="2"/>
        <v>458.1</v>
      </c>
      <c r="AI12" s="62">
        <f t="shared" si="3"/>
        <v>0.37906570617769031</v>
      </c>
    </row>
    <row r="13" spans="1:38" ht="14.25" customHeight="1" x14ac:dyDescent="0.2">
      <c r="A13" s="38" t="s">
        <v>26</v>
      </c>
      <c r="B13" s="54">
        <f>[1]Invoer!T11</f>
        <v>523.04999999999995</v>
      </c>
      <c r="C13" s="54">
        <f>[1]Invoer!V11</f>
        <v>-70.400000000000006</v>
      </c>
      <c r="D13" s="54">
        <f>[1]Invoer!X11</f>
        <v>0</v>
      </c>
      <c r="E13" s="55">
        <f t="shared" si="0"/>
        <v>452.65</v>
      </c>
      <c r="F13" s="55">
        <v>329.5</v>
      </c>
      <c r="G13" s="56">
        <v>469</v>
      </c>
      <c r="H13" s="56">
        <v>536.20000000000005</v>
      </c>
      <c r="I13" s="56">
        <v>640.70000000000005</v>
      </c>
      <c r="J13" s="56">
        <v>873.3</v>
      </c>
      <c r="K13" s="57">
        <v>604.8776551648549</v>
      </c>
      <c r="L13" s="57">
        <v>868.7</v>
      </c>
      <c r="M13" s="57">
        <v>587.54999999999995</v>
      </c>
      <c r="N13" s="57">
        <v>985.19999999999982</v>
      </c>
      <c r="O13" s="57">
        <v>311.29999999999995</v>
      </c>
      <c r="P13" s="57">
        <v>385.5</v>
      </c>
      <c r="Q13" s="57">
        <v>311.89999999999998</v>
      </c>
      <c r="R13" s="57">
        <v>378</v>
      </c>
      <c r="S13" s="57"/>
      <c r="T13" s="57">
        <v>166.6</v>
      </c>
      <c r="U13" s="57">
        <v>27</v>
      </c>
      <c r="V13" s="57"/>
      <c r="W13" s="57">
        <f t="shared" si="1"/>
        <v>27</v>
      </c>
      <c r="X13" s="57">
        <f>80+90+10+19.2</f>
        <v>199.2</v>
      </c>
      <c r="Y13" s="57">
        <v>27</v>
      </c>
      <c r="Z13" s="57">
        <v>166.27</v>
      </c>
      <c r="AA13" s="57">
        <v>27</v>
      </c>
      <c r="AB13" s="58"/>
      <c r="AC13" s="59"/>
      <c r="AD13" s="46">
        <v>-32.700000000000003</v>
      </c>
      <c r="AE13" s="47"/>
      <c r="AF13" s="53"/>
      <c r="AG13" s="60"/>
      <c r="AH13" s="61">
        <f t="shared" si="2"/>
        <v>329.5</v>
      </c>
      <c r="AI13" s="62">
        <f t="shared" si="3"/>
        <v>0.37374810318664631</v>
      </c>
    </row>
    <row r="14" spans="1:38" ht="14.25" customHeight="1" x14ac:dyDescent="0.2">
      <c r="A14" s="38" t="s">
        <v>27</v>
      </c>
      <c r="B14" s="54">
        <f>[1]Invoer!T12</f>
        <v>1045.5999999999999</v>
      </c>
      <c r="C14" s="54">
        <f>[1]Invoer!V12</f>
        <v>-82.7</v>
      </c>
      <c r="D14" s="54">
        <f>[1]Invoer!X12</f>
        <v>0</v>
      </c>
      <c r="E14" s="55">
        <f t="shared" si="0"/>
        <v>962.89999999999986</v>
      </c>
      <c r="F14" s="55">
        <v>845.72</v>
      </c>
      <c r="G14" s="56">
        <v>496.4</v>
      </c>
      <c r="H14" s="56">
        <v>365.35</v>
      </c>
      <c r="I14" s="56">
        <v>487.1</v>
      </c>
      <c r="J14" s="56">
        <v>518.07000000000005</v>
      </c>
      <c r="K14" s="57">
        <v>536.84183486364225</v>
      </c>
      <c r="L14" s="57">
        <v>228.64999999999998</v>
      </c>
      <c r="M14" s="57">
        <v>482.01999999999987</v>
      </c>
      <c r="N14" s="57">
        <v>328.4</v>
      </c>
      <c r="O14" s="57">
        <v>746.51</v>
      </c>
      <c r="P14" s="57">
        <v>648.96999999999991</v>
      </c>
      <c r="Q14" s="57">
        <v>799.53</v>
      </c>
      <c r="R14" s="57">
        <v>655.1</v>
      </c>
      <c r="S14" s="57">
        <v>783.4</v>
      </c>
      <c r="T14" s="57">
        <v>114.25</v>
      </c>
      <c r="U14" s="57">
        <v>27</v>
      </c>
      <c r="V14" s="57"/>
      <c r="W14" s="57">
        <f t="shared" si="1"/>
        <v>27</v>
      </c>
      <c r="X14" s="57"/>
      <c r="Y14" s="57"/>
      <c r="Z14" s="57"/>
      <c r="AA14" s="57"/>
      <c r="AB14" s="24"/>
      <c r="AC14" s="63"/>
      <c r="AD14" s="46">
        <v>15.17</v>
      </c>
      <c r="AE14" s="47"/>
      <c r="AF14" s="53"/>
      <c r="AG14" s="60"/>
      <c r="AH14" s="61">
        <f t="shared" si="2"/>
        <v>845.72</v>
      </c>
      <c r="AI14" s="62">
        <f t="shared" si="3"/>
        <v>0.13855649623988997</v>
      </c>
    </row>
    <row r="15" spans="1:38" ht="14.25" customHeight="1" x14ac:dyDescent="0.2">
      <c r="A15" s="38" t="s">
        <v>28</v>
      </c>
      <c r="B15" s="54">
        <f>[1]Invoer!T13</f>
        <v>897.6</v>
      </c>
      <c r="C15" s="54">
        <f>[1]Invoer!V13</f>
        <v>-87.5</v>
      </c>
      <c r="D15" s="54">
        <f>[1]Invoer!X13</f>
        <v>-350</v>
      </c>
      <c r="E15" s="55">
        <f t="shared" si="0"/>
        <v>460.1</v>
      </c>
      <c r="F15" s="55">
        <v>502.3</v>
      </c>
      <c r="G15" s="56">
        <v>442.1</v>
      </c>
      <c r="H15" s="56">
        <v>495.9</v>
      </c>
      <c r="I15" s="56">
        <v>243.5</v>
      </c>
      <c r="J15" s="56">
        <v>429.05</v>
      </c>
      <c r="K15" s="57"/>
      <c r="L15" s="57"/>
      <c r="M15" s="57"/>
      <c r="N15" s="57"/>
      <c r="O15" s="57"/>
      <c r="P15" s="57"/>
      <c r="Q15" s="57"/>
      <c r="R15" s="57"/>
      <c r="S15" s="57"/>
      <c r="T15" s="57">
        <v>409.95</v>
      </c>
      <c r="U15" s="57">
        <v>27</v>
      </c>
      <c r="V15" s="57"/>
      <c r="W15" s="57">
        <f t="shared" si="1"/>
        <v>27</v>
      </c>
      <c r="X15" s="57">
        <f>160+50+20+97.91</f>
        <v>327.90999999999997</v>
      </c>
      <c r="Y15" s="57">
        <v>27</v>
      </c>
      <c r="Z15" s="57">
        <v>268.08999999999997</v>
      </c>
      <c r="AA15" s="57">
        <v>27</v>
      </c>
      <c r="AB15" s="58"/>
      <c r="AC15" s="59"/>
      <c r="AD15" s="46">
        <v>79.37</v>
      </c>
      <c r="AE15" s="47"/>
      <c r="AF15" s="53"/>
      <c r="AG15" s="60"/>
      <c r="AH15" s="61">
        <f t="shared" si="2"/>
        <v>502.3</v>
      </c>
      <c r="AI15" s="62">
        <f t="shared" si="3"/>
        <v>-8.4013537726458254E-2</v>
      </c>
    </row>
    <row r="16" spans="1:38" ht="14.25" customHeight="1" x14ac:dyDescent="0.2">
      <c r="A16" s="38" t="s">
        <v>29</v>
      </c>
      <c r="B16" s="54">
        <f>[1]Invoer!T14</f>
        <v>1707.85</v>
      </c>
      <c r="C16" s="54">
        <f>[1]Invoer!V14</f>
        <v>-380.3</v>
      </c>
      <c r="D16" s="54">
        <f>[1]Invoer!X14</f>
        <v>0</v>
      </c>
      <c r="E16" s="55">
        <f t="shared" si="0"/>
        <v>1327.55</v>
      </c>
      <c r="F16" s="55">
        <v>643.70000000000005</v>
      </c>
      <c r="G16" s="56">
        <v>706</v>
      </c>
      <c r="H16" s="56">
        <v>1024.5</v>
      </c>
      <c r="I16" s="56">
        <v>1299.75</v>
      </c>
      <c r="J16" s="56">
        <v>858.12</v>
      </c>
      <c r="K16" s="57">
        <v>1221.028312068433</v>
      </c>
      <c r="L16" s="57">
        <v>1464.5</v>
      </c>
      <c r="M16" s="57">
        <v>1367.85</v>
      </c>
      <c r="N16" s="57">
        <v>851.73</v>
      </c>
      <c r="O16" s="57">
        <v>587.58999999999992</v>
      </c>
      <c r="P16" s="57">
        <v>707.52</v>
      </c>
      <c r="Q16" s="57">
        <v>971.05</v>
      </c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8"/>
      <c r="AC16" s="59"/>
      <c r="AD16" s="46"/>
      <c r="AE16" s="47"/>
      <c r="AF16" s="53"/>
      <c r="AG16" s="60"/>
      <c r="AH16" s="61">
        <f t="shared" si="2"/>
        <v>643.70000000000005</v>
      </c>
      <c r="AI16" s="62">
        <f t="shared" si="3"/>
        <v>1.0623737766040078</v>
      </c>
    </row>
    <row r="17" spans="1:35" ht="14.25" customHeight="1" x14ac:dyDescent="0.2">
      <c r="A17" s="38" t="s">
        <v>30</v>
      </c>
      <c r="B17" s="54">
        <f>[1]Invoer!T15</f>
        <v>432.3</v>
      </c>
      <c r="C17" s="54">
        <f>[1]Invoer!V15</f>
        <v>-72.8</v>
      </c>
      <c r="D17" s="54">
        <f>[1]Invoer!X15</f>
        <v>0</v>
      </c>
      <c r="E17" s="55">
        <f t="shared" si="0"/>
        <v>359.5</v>
      </c>
      <c r="F17" s="55">
        <v>255.15</v>
      </c>
      <c r="G17" s="56">
        <v>256.85000000000002</v>
      </c>
      <c r="H17" s="56">
        <v>276</v>
      </c>
      <c r="I17" s="56">
        <v>440.3</v>
      </c>
      <c r="J17" s="56">
        <v>177.07</v>
      </c>
      <c r="K17" s="57">
        <v>277.95027201801497</v>
      </c>
      <c r="L17" s="57">
        <v>345.65</v>
      </c>
      <c r="M17" s="57">
        <v>352.71</v>
      </c>
      <c r="N17" s="57">
        <v>260.2</v>
      </c>
      <c r="O17" s="57">
        <v>268.29999999999995</v>
      </c>
      <c r="P17" s="57">
        <v>252.16</v>
      </c>
      <c r="Q17" s="57">
        <v>313.3</v>
      </c>
      <c r="R17" s="57">
        <v>288.25</v>
      </c>
      <c r="S17" s="57">
        <v>325.60000000000002</v>
      </c>
      <c r="T17" s="57">
        <v>82.95</v>
      </c>
      <c r="U17" s="57">
        <v>27</v>
      </c>
      <c r="V17" s="57"/>
      <c r="W17" s="57">
        <f t="shared" si="1"/>
        <v>27</v>
      </c>
      <c r="X17" s="57">
        <f>35+25+30+23.15</f>
        <v>113.15</v>
      </c>
      <c r="Y17" s="57">
        <v>27</v>
      </c>
      <c r="Z17" s="57">
        <v>64.45</v>
      </c>
      <c r="AA17" s="57">
        <v>27</v>
      </c>
      <c r="AB17" s="58"/>
      <c r="AC17" s="59"/>
      <c r="AD17" s="46">
        <v>49.95</v>
      </c>
      <c r="AE17" s="47"/>
      <c r="AF17" s="53"/>
      <c r="AG17" s="60"/>
      <c r="AH17" s="61">
        <f t="shared" si="2"/>
        <v>255.15</v>
      </c>
      <c r="AI17" s="62">
        <f t="shared" si="3"/>
        <v>0.40897511267881637</v>
      </c>
    </row>
    <row r="18" spans="1:35" ht="14.25" customHeight="1" x14ac:dyDescent="0.2">
      <c r="A18" s="38" t="s">
        <v>31</v>
      </c>
      <c r="B18" s="54">
        <f>[1]Invoer!T16</f>
        <v>774.25</v>
      </c>
      <c r="C18" s="54">
        <f>[1]Invoer!V16</f>
        <v>-111.5</v>
      </c>
      <c r="D18" s="54">
        <f>[1]Invoer!X16</f>
        <v>0</v>
      </c>
      <c r="E18" s="55">
        <f t="shared" si="0"/>
        <v>662.75</v>
      </c>
      <c r="F18" s="55">
        <v>513</v>
      </c>
      <c r="G18" s="56">
        <v>494.04</v>
      </c>
      <c r="H18" s="56">
        <v>574.29999999999995</v>
      </c>
      <c r="I18" s="56">
        <v>754.05</v>
      </c>
      <c r="J18" s="56">
        <v>478.73</v>
      </c>
      <c r="K18" s="57">
        <v>575.2227376670221</v>
      </c>
      <c r="L18" s="57">
        <v>589.17000000000007</v>
      </c>
      <c r="M18" s="57">
        <v>544.66000000000008</v>
      </c>
      <c r="N18" s="57">
        <v>437.96000000000004</v>
      </c>
      <c r="O18" s="57">
        <v>431.71000000000004</v>
      </c>
      <c r="P18" s="57">
        <v>384.19</v>
      </c>
      <c r="Q18" s="57">
        <v>553.5</v>
      </c>
      <c r="R18" s="57">
        <v>464.15</v>
      </c>
      <c r="S18" s="57">
        <v>497.55</v>
      </c>
      <c r="T18" s="57">
        <v>449.45</v>
      </c>
      <c r="U18" s="57">
        <v>54</v>
      </c>
      <c r="V18" s="57"/>
      <c r="W18" s="57">
        <f t="shared" si="1"/>
        <v>54</v>
      </c>
      <c r="X18" s="57">
        <f>30+60+60+100+90+196.8</f>
        <v>536.79999999999995</v>
      </c>
      <c r="Y18" s="57">
        <v>54</v>
      </c>
      <c r="Z18" s="57">
        <v>502.86</v>
      </c>
      <c r="AA18" s="57">
        <v>54</v>
      </c>
      <c r="AB18" s="58"/>
      <c r="AC18" s="59"/>
      <c r="AD18" s="46">
        <v>-33.4</v>
      </c>
      <c r="AE18" s="47"/>
      <c r="AF18" s="53"/>
      <c r="AG18" s="60"/>
      <c r="AH18" s="61">
        <f t="shared" si="2"/>
        <v>513</v>
      </c>
      <c r="AI18" s="62">
        <f t="shared" si="3"/>
        <v>0.29191033138401568</v>
      </c>
    </row>
    <row r="19" spans="1:35" ht="14.25" customHeight="1" x14ac:dyDescent="0.2">
      <c r="A19" s="38" t="s">
        <v>32</v>
      </c>
      <c r="B19" s="54">
        <f>[1]Invoer!T17</f>
        <v>1939.85</v>
      </c>
      <c r="C19" s="54">
        <f>[1]Invoer!V17</f>
        <v>-120</v>
      </c>
      <c r="D19" s="54">
        <f>[1]Invoer!X17</f>
        <v>0</v>
      </c>
      <c r="E19" s="55">
        <f t="shared" si="0"/>
        <v>1819.85</v>
      </c>
      <c r="F19" s="55">
        <v>1841.8</v>
      </c>
      <c r="G19" s="56">
        <v>1085.55</v>
      </c>
      <c r="H19" s="56">
        <v>1085.0999999999999</v>
      </c>
      <c r="I19" s="56">
        <v>1574.2</v>
      </c>
      <c r="J19" s="56">
        <v>1097.47</v>
      </c>
      <c r="K19" s="57">
        <v>1121.9374901854305</v>
      </c>
      <c r="L19" s="57">
        <v>1341.62</v>
      </c>
      <c r="M19" s="57">
        <v>1062.1100000000001</v>
      </c>
      <c r="N19" s="57">
        <v>923.72</v>
      </c>
      <c r="O19" s="57">
        <v>929.31999999999994</v>
      </c>
      <c r="P19" s="57">
        <v>786.86</v>
      </c>
      <c r="Q19" s="57">
        <v>602.29</v>
      </c>
      <c r="R19" s="57">
        <v>454.5</v>
      </c>
      <c r="S19" s="57">
        <v>375.13</v>
      </c>
      <c r="T19" s="57">
        <v>159.66999999999999</v>
      </c>
      <c r="U19" s="57">
        <v>27</v>
      </c>
      <c r="V19" s="57"/>
      <c r="W19" s="57">
        <f t="shared" si="1"/>
        <v>27</v>
      </c>
      <c r="X19" s="57">
        <f>30+67.11</f>
        <v>97.11</v>
      </c>
      <c r="Y19" s="57">
        <v>27</v>
      </c>
      <c r="Z19" s="57">
        <v>111.01</v>
      </c>
      <c r="AA19" s="57">
        <v>27</v>
      </c>
      <c r="AB19" s="58"/>
      <c r="AC19" s="59"/>
      <c r="AD19" s="64">
        <v>-4.5999999999999996</v>
      </c>
      <c r="AE19" s="65"/>
      <c r="AF19" s="53"/>
      <c r="AG19" s="60"/>
      <c r="AH19" s="61">
        <f t="shared" si="2"/>
        <v>1841.8</v>
      </c>
      <c r="AI19" s="62">
        <f t="shared" si="3"/>
        <v>-1.191768921707026E-2</v>
      </c>
    </row>
    <row r="20" spans="1:35" ht="14.25" customHeight="1" x14ac:dyDescent="0.2">
      <c r="A20" s="38" t="s">
        <v>33</v>
      </c>
      <c r="B20" s="54">
        <f>[1]Invoer!T18</f>
        <v>10</v>
      </c>
      <c r="C20" s="54">
        <f>[1]Invoer!V18</f>
        <v>0</v>
      </c>
      <c r="D20" s="54">
        <f>[1]Invoer!X18</f>
        <v>0</v>
      </c>
      <c r="E20" s="55">
        <f t="shared" si="0"/>
        <v>10</v>
      </c>
      <c r="F20" s="55">
        <v>150</v>
      </c>
      <c r="G20" s="56">
        <f>C20+D20+E20</f>
        <v>10</v>
      </c>
      <c r="H20" s="56">
        <v>0</v>
      </c>
      <c r="I20" s="56">
        <v>0</v>
      </c>
      <c r="J20" s="56">
        <f>[1]Invoer!AA34</f>
        <v>0</v>
      </c>
      <c r="K20" s="57">
        <v>0</v>
      </c>
      <c r="L20" s="57">
        <v>0</v>
      </c>
      <c r="M20" s="57">
        <v>0</v>
      </c>
      <c r="N20" s="57">
        <v>0</v>
      </c>
      <c r="O20" s="57">
        <v>80</v>
      </c>
      <c r="P20" s="57">
        <v>0</v>
      </c>
      <c r="Q20" s="57"/>
      <c r="R20" s="57">
        <v>30</v>
      </c>
      <c r="S20" s="57">
        <v>40</v>
      </c>
      <c r="T20" s="57">
        <v>102.3</v>
      </c>
      <c r="U20" s="57">
        <v>27</v>
      </c>
      <c r="V20" s="57"/>
      <c r="W20" s="57">
        <f t="shared" si="1"/>
        <v>27</v>
      </c>
      <c r="X20" s="57">
        <f>75+22.72</f>
        <v>97.72</v>
      </c>
      <c r="Y20" s="57">
        <v>27</v>
      </c>
      <c r="Z20" s="57">
        <v>130.43</v>
      </c>
      <c r="AA20" s="57">
        <v>27</v>
      </c>
      <c r="AB20" s="58"/>
      <c r="AC20" s="45"/>
      <c r="AD20" s="66"/>
      <c r="AE20" s="67"/>
      <c r="AF20" s="53"/>
      <c r="AG20" s="60"/>
      <c r="AH20" s="61">
        <f t="shared" si="2"/>
        <v>150</v>
      </c>
      <c r="AI20" s="62">
        <f t="shared" si="3"/>
        <v>-0.93333333333333335</v>
      </c>
    </row>
    <row r="21" spans="1:35" ht="14.25" customHeight="1" x14ac:dyDescent="0.2">
      <c r="A21" s="38" t="s">
        <v>34</v>
      </c>
      <c r="B21" s="54">
        <f>[1]Invoer!T19</f>
        <v>1579.4</v>
      </c>
      <c r="C21" s="54">
        <f>[1]Invoer!V19</f>
        <v>-90</v>
      </c>
      <c r="D21" s="54">
        <f>[1]Invoer!X19</f>
        <v>-910</v>
      </c>
      <c r="E21" s="55">
        <f t="shared" si="0"/>
        <v>579.40000000000009</v>
      </c>
      <c r="F21" s="55">
        <v>501.05</v>
      </c>
      <c r="G21" s="56">
        <v>475.9</v>
      </c>
      <c r="H21" s="56">
        <v>397</v>
      </c>
      <c r="I21" s="56">
        <v>406</v>
      </c>
      <c r="J21" s="56">
        <v>264.85000000000002</v>
      </c>
      <c r="K21" s="57">
        <v>614.53875198035098</v>
      </c>
      <c r="L21" s="57">
        <v>474.19999999999993</v>
      </c>
      <c r="M21" s="57">
        <v>472.19000000000005</v>
      </c>
      <c r="N21" s="57">
        <v>338.87</v>
      </c>
      <c r="O21" s="57">
        <v>390.1</v>
      </c>
      <c r="P21" s="57">
        <v>279.05000000000007</v>
      </c>
      <c r="Q21" s="57">
        <v>389.05</v>
      </c>
      <c r="R21" s="57">
        <v>394.4</v>
      </c>
      <c r="S21" s="57">
        <v>444.95</v>
      </c>
      <c r="T21" s="57">
        <v>259.8</v>
      </c>
      <c r="U21" s="57">
        <v>27</v>
      </c>
      <c r="V21" s="57"/>
      <c r="W21" s="57">
        <f t="shared" si="1"/>
        <v>27</v>
      </c>
      <c r="X21" s="57">
        <f>90+50+74.05</f>
        <v>214.05</v>
      </c>
      <c r="Y21" s="57">
        <v>27</v>
      </c>
      <c r="Z21" s="57">
        <v>248.01</v>
      </c>
      <c r="AA21" s="57">
        <v>27</v>
      </c>
      <c r="AB21" s="58"/>
      <c r="AC21" s="59"/>
      <c r="AD21" s="46">
        <v>-37.35</v>
      </c>
      <c r="AE21" s="47"/>
      <c r="AF21" s="53"/>
      <c r="AG21" s="60"/>
      <c r="AH21" s="61">
        <f t="shared" si="2"/>
        <v>501.05</v>
      </c>
      <c r="AI21" s="62">
        <f t="shared" si="3"/>
        <v>0.15637161959884249</v>
      </c>
    </row>
    <row r="22" spans="1:35" ht="14.25" customHeight="1" x14ac:dyDescent="0.2">
      <c r="A22" s="38" t="s">
        <v>35</v>
      </c>
      <c r="B22" s="54">
        <f>[1]Invoer!T20</f>
        <v>1146</v>
      </c>
      <c r="C22" s="54">
        <f>[1]Invoer!V20</f>
        <v>-69.5</v>
      </c>
      <c r="D22" s="54">
        <f>[1]Invoer!X20</f>
        <v>0</v>
      </c>
      <c r="E22" s="55">
        <f t="shared" si="0"/>
        <v>1076.5</v>
      </c>
      <c r="F22" s="55">
        <v>963.4</v>
      </c>
      <c r="G22" s="56">
        <v>764.45</v>
      </c>
      <c r="H22" s="56">
        <v>633.54999999999995</v>
      </c>
      <c r="I22" s="56">
        <v>625.1</v>
      </c>
      <c r="J22" s="56">
        <v>653.11</v>
      </c>
      <c r="K22" s="57">
        <v>640.85103330726088</v>
      </c>
      <c r="L22" s="57">
        <v>616.95000000000005</v>
      </c>
      <c r="M22" s="57">
        <v>603.30999999999995</v>
      </c>
      <c r="N22" s="57">
        <v>568.69999999999993</v>
      </c>
      <c r="O22" s="57"/>
      <c r="P22" s="57"/>
      <c r="Q22" s="57"/>
      <c r="R22" s="57"/>
      <c r="S22" s="57"/>
      <c r="T22" s="57">
        <v>799.4</v>
      </c>
      <c r="U22" s="57">
        <v>42</v>
      </c>
      <c r="V22" s="57"/>
      <c r="W22" s="57">
        <f t="shared" si="1"/>
        <v>42</v>
      </c>
      <c r="X22" s="57">
        <f>220+120+70+90+75+189.55</f>
        <v>764.55</v>
      </c>
      <c r="Y22" s="57">
        <v>42</v>
      </c>
      <c r="Z22" s="57">
        <v>637.29</v>
      </c>
      <c r="AA22" s="57">
        <v>42</v>
      </c>
      <c r="AB22" s="58"/>
      <c r="AC22" s="59"/>
      <c r="AD22" s="46">
        <v>-148.6</v>
      </c>
      <c r="AE22" s="47"/>
      <c r="AF22" s="53"/>
      <c r="AG22" s="60"/>
      <c r="AH22" s="61">
        <f t="shared" si="2"/>
        <v>963.4</v>
      </c>
      <c r="AI22" s="62">
        <f t="shared" si="3"/>
        <v>0.11739671995017642</v>
      </c>
    </row>
    <row r="23" spans="1:35" ht="14.25" customHeight="1" x14ac:dyDescent="0.2">
      <c r="A23" s="38" t="s">
        <v>36</v>
      </c>
      <c r="B23" s="54">
        <f>[1]Invoer!T22</f>
        <v>210.5</v>
      </c>
      <c r="C23" s="54">
        <f>[1]Invoer!V22</f>
        <v>-36.4</v>
      </c>
      <c r="D23" s="54">
        <f>[1]Invoer!X21</f>
        <v>0</v>
      </c>
      <c r="E23" s="55">
        <f t="shared" si="0"/>
        <v>174.1</v>
      </c>
      <c r="F23" s="55">
        <v>124.85</v>
      </c>
      <c r="G23" s="56">
        <v>70</v>
      </c>
      <c r="H23" s="56">
        <v>155.6</v>
      </c>
      <c r="I23" s="56">
        <v>184.2</v>
      </c>
      <c r="J23" s="56">
        <v>99.9</v>
      </c>
      <c r="K23" s="57">
        <v>135.92698246828948</v>
      </c>
      <c r="L23" s="57">
        <v>116.54999999999998</v>
      </c>
      <c r="M23" s="57">
        <v>93.6</v>
      </c>
      <c r="N23" s="57">
        <v>97.1</v>
      </c>
      <c r="O23" s="57">
        <v>148.60000000000002</v>
      </c>
      <c r="P23" s="57">
        <v>118.25000000000001</v>
      </c>
      <c r="Q23" s="57">
        <v>98.98</v>
      </c>
      <c r="R23" s="57">
        <v>76.2</v>
      </c>
      <c r="S23" s="57">
        <v>108.9</v>
      </c>
      <c r="T23" s="57">
        <v>102.3</v>
      </c>
      <c r="U23" s="57">
        <v>27</v>
      </c>
      <c r="V23" s="57"/>
      <c r="W23" s="57">
        <f t="shared" si="1"/>
        <v>27</v>
      </c>
      <c r="X23" s="57">
        <f>75+22.72</f>
        <v>97.72</v>
      </c>
      <c r="Y23" s="57">
        <v>27</v>
      </c>
      <c r="Z23" s="57">
        <v>130.43</v>
      </c>
      <c r="AA23" s="57">
        <v>27</v>
      </c>
      <c r="AB23" s="58"/>
      <c r="AC23" s="45"/>
      <c r="AD23" s="68"/>
      <c r="AE23" s="69"/>
      <c r="AF23" s="53"/>
      <c r="AG23" s="60"/>
      <c r="AH23" s="61">
        <f t="shared" si="2"/>
        <v>124.85</v>
      </c>
      <c r="AI23" s="62">
        <f t="shared" si="3"/>
        <v>0.3944733680416499</v>
      </c>
    </row>
    <row r="24" spans="1:35" ht="14.25" customHeight="1" x14ac:dyDescent="0.2">
      <c r="A24" s="38" t="s">
        <v>37</v>
      </c>
      <c r="B24" s="54">
        <f>[1]Invoer!T23</f>
        <v>0</v>
      </c>
      <c r="C24" s="54">
        <f>[1]Invoer!V23</f>
        <v>0</v>
      </c>
      <c r="D24" s="54">
        <f>[1]Invoer!X22</f>
        <v>0</v>
      </c>
      <c r="E24" s="55">
        <f t="shared" si="0"/>
        <v>0</v>
      </c>
      <c r="F24" s="55">
        <f t="shared" si="0"/>
        <v>0</v>
      </c>
      <c r="G24" s="56">
        <f>C24+D24+E24</f>
        <v>0</v>
      </c>
      <c r="H24" s="56">
        <v>0</v>
      </c>
      <c r="I24" s="56">
        <v>0</v>
      </c>
      <c r="J24" s="56">
        <f>[1]Invoer!AA35</f>
        <v>0</v>
      </c>
      <c r="K24" s="57">
        <v>0</v>
      </c>
      <c r="L24" s="57">
        <v>0</v>
      </c>
      <c r="M24" s="57">
        <v>0</v>
      </c>
      <c r="N24" s="57">
        <v>0</v>
      </c>
      <c r="O24" s="57">
        <v>400</v>
      </c>
      <c r="P24" s="57">
        <v>0</v>
      </c>
      <c r="Q24" s="57"/>
      <c r="R24" s="57">
        <v>0</v>
      </c>
      <c r="S24" s="57">
        <v>0</v>
      </c>
      <c r="T24" s="57">
        <v>1125.3699999999999</v>
      </c>
      <c r="U24" s="57">
        <v>172</v>
      </c>
      <c r="V24" s="57">
        <f>10+227.63+10.36+47.45+22.26</f>
        <v>317.7</v>
      </c>
      <c r="W24" s="57">
        <f t="shared" si="1"/>
        <v>489.7</v>
      </c>
      <c r="X24" s="57">
        <f>200+100+200+125+100+362.24-157</f>
        <v>930.24</v>
      </c>
      <c r="Y24" s="57">
        <f>172+31.29+27.57+167+4+49.51+36.3</f>
        <v>487.67</v>
      </c>
      <c r="Z24" s="57">
        <v>1146.49</v>
      </c>
      <c r="AA24" s="57">
        <v>558.70000000000005</v>
      </c>
      <c r="AB24" s="58"/>
      <c r="AC24" s="63"/>
      <c r="AD24" s="46">
        <v>-128.30000000000001</v>
      </c>
      <c r="AE24" s="47"/>
      <c r="AF24" s="53"/>
      <c r="AG24" s="60"/>
      <c r="AH24" s="61">
        <f t="shared" si="2"/>
        <v>0</v>
      </c>
      <c r="AI24" s="62" t="e">
        <f t="shared" si="3"/>
        <v>#DIV/0!</v>
      </c>
    </row>
    <row r="25" spans="1:35" ht="14.25" customHeight="1" x14ac:dyDescent="0.2">
      <c r="A25" s="38" t="s">
        <v>38</v>
      </c>
      <c r="B25" s="54">
        <f>[1]Invoer!P34</f>
        <v>78.3</v>
      </c>
      <c r="C25" s="54">
        <f>[1]Invoer!V34</f>
        <v>-27</v>
      </c>
      <c r="D25" s="54">
        <f>[1]Invoer!X23</f>
        <v>0</v>
      </c>
      <c r="E25" s="55">
        <f t="shared" si="0"/>
        <v>51.3</v>
      </c>
      <c r="F25" s="55">
        <v>29.95</v>
      </c>
      <c r="G25" s="56">
        <v>63.11</v>
      </c>
      <c r="H25" s="56">
        <v>62.15</v>
      </c>
      <c r="I25" s="56">
        <v>76.95</v>
      </c>
      <c r="J25" s="56">
        <v>47.7</v>
      </c>
      <c r="K25" s="42">
        <v>34.769615811918975</v>
      </c>
      <c r="L25" s="42" t="s">
        <v>39</v>
      </c>
      <c r="M25" s="42" t="s">
        <v>39</v>
      </c>
      <c r="N25" s="42" t="s">
        <v>39</v>
      </c>
      <c r="O25" s="42" t="s">
        <v>39</v>
      </c>
      <c r="P25" s="42" t="s">
        <v>39</v>
      </c>
      <c r="Q25" s="42" t="s">
        <v>39</v>
      </c>
      <c r="R25" s="42" t="s">
        <v>39</v>
      </c>
      <c r="S25" s="42" t="s">
        <v>39</v>
      </c>
      <c r="T25" s="57">
        <v>332.67</v>
      </c>
      <c r="U25" s="57">
        <v>62</v>
      </c>
      <c r="V25" s="57">
        <f>10+26.42</f>
        <v>36.42</v>
      </c>
      <c r="W25" s="57">
        <f t="shared" si="1"/>
        <v>98.42</v>
      </c>
      <c r="X25" s="57">
        <f>70+60+50+25+20+9.73</f>
        <v>234.73</v>
      </c>
      <c r="Y25" s="57">
        <f>27+62</f>
        <v>89</v>
      </c>
      <c r="Z25" s="57">
        <v>264.98</v>
      </c>
      <c r="AA25" s="57">
        <v>87.95</v>
      </c>
      <c r="AB25" s="58"/>
      <c r="AC25" s="70"/>
      <c r="AD25" s="46"/>
      <c r="AE25" s="47"/>
      <c r="AF25" s="53"/>
      <c r="AG25" s="60"/>
      <c r="AH25" s="61">
        <f t="shared" si="2"/>
        <v>29.95</v>
      </c>
      <c r="AI25" s="62">
        <f t="shared" si="3"/>
        <v>0.71285475792988318</v>
      </c>
    </row>
    <row r="26" spans="1:35" ht="14.25" customHeight="1" x14ac:dyDescent="0.2">
      <c r="A26" s="38" t="s">
        <v>40</v>
      </c>
      <c r="B26" s="54">
        <f>[1]Invoer!T24</f>
        <v>382.4</v>
      </c>
      <c r="C26" s="54">
        <f>[1]Invoer!V24</f>
        <v>-87.6</v>
      </c>
      <c r="D26" s="54">
        <f>[1]Invoer!X24</f>
        <v>0</v>
      </c>
      <c r="E26" s="55">
        <f t="shared" si="0"/>
        <v>294.79999999999995</v>
      </c>
      <c r="F26" s="55">
        <v>295.58999999999997</v>
      </c>
      <c r="G26" s="56">
        <v>295.60000000000002</v>
      </c>
      <c r="H26" s="56">
        <v>283.05</v>
      </c>
      <c r="I26" s="56">
        <v>258.10000000000002</v>
      </c>
      <c r="J26" s="56">
        <v>300.60000000000002</v>
      </c>
      <c r="K26" s="57">
        <v>414.34222706031233</v>
      </c>
      <c r="L26" s="57">
        <v>517.24</v>
      </c>
      <c r="M26" s="57">
        <v>227.99999999999997</v>
      </c>
      <c r="N26" s="57">
        <v>266.04999999999995</v>
      </c>
      <c r="O26" s="57">
        <v>209.85</v>
      </c>
      <c r="P26" s="57">
        <v>216.49999999999997</v>
      </c>
      <c r="Q26" s="57">
        <v>303.3</v>
      </c>
      <c r="R26" s="57">
        <v>328.2</v>
      </c>
      <c r="S26" s="57">
        <v>581.20000000000005</v>
      </c>
      <c r="T26" s="57">
        <v>684.03</v>
      </c>
      <c r="U26" s="57">
        <v>201</v>
      </c>
      <c r="V26" s="57"/>
      <c r="W26" s="57">
        <f t="shared" si="1"/>
        <v>201</v>
      </c>
      <c r="X26" s="57">
        <f>150+300+130+100+45+100+152.81</f>
        <v>977.81</v>
      </c>
      <c r="Y26" s="57">
        <v>203</v>
      </c>
      <c r="Z26" s="57">
        <v>724.6</v>
      </c>
      <c r="AA26" s="57">
        <v>203</v>
      </c>
      <c r="AB26" s="58"/>
      <c r="AC26" s="59"/>
      <c r="AD26" s="46">
        <v>-46.23</v>
      </c>
      <c r="AE26" s="47"/>
      <c r="AF26" s="53"/>
      <c r="AG26" s="60"/>
      <c r="AH26" s="61">
        <f t="shared" si="2"/>
        <v>295.58999999999997</v>
      </c>
      <c r="AI26" s="62">
        <f t="shared" si="3"/>
        <v>-2.6726208599749945E-3</v>
      </c>
    </row>
    <row r="27" spans="1:35" ht="14.25" customHeight="1" x14ac:dyDescent="0.2">
      <c r="A27" s="38" t="s">
        <v>41</v>
      </c>
      <c r="B27" s="54">
        <f>[1]Invoer!T25</f>
        <v>740.65</v>
      </c>
      <c r="C27" s="54">
        <f>[1]Invoer!V25</f>
        <v>-337.5</v>
      </c>
      <c r="D27" s="54">
        <f>[1]Invoer!X25</f>
        <v>0</v>
      </c>
      <c r="E27" s="55">
        <f t="shared" si="0"/>
        <v>403.15</v>
      </c>
      <c r="F27" s="55">
        <v>504.95</v>
      </c>
      <c r="G27" s="56">
        <v>483.25</v>
      </c>
      <c r="H27" s="56">
        <v>771.95</v>
      </c>
      <c r="I27" s="56">
        <v>764.45</v>
      </c>
      <c r="J27" s="56">
        <v>480</v>
      </c>
      <c r="K27" s="57">
        <v>972.41264310837869</v>
      </c>
      <c r="L27" s="57">
        <v>852.98</v>
      </c>
      <c r="M27" s="57">
        <v>644.57999999999993</v>
      </c>
      <c r="N27" s="57">
        <v>973.34999999999991</v>
      </c>
      <c r="O27" s="57">
        <v>993.78000000000009</v>
      </c>
      <c r="P27" s="57">
        <v>877.40000000000009</v>
      </c>
      <c r="Q27" s="57">
        <v>761.4</v>
      </c>
      <c r="R27" s="57">
        <v>1218.5999999999999</v>
      </c>
      <c r="S27" s="57">
        <v>1189.33</v>
      </c>
      <c r="T27" s="57"/>
      <c r="U27" s="57"/>
      <c r="V27" s="57"/>
      <c r="W27" s="57"/>
      <c r="X27" s="57"/>
      <c r="Y27" s="57"/>
      <c r="Z27" s="57"/>
      <c r="AA27" s="57"/>
      <c r="AB27" s="71"/>
      <c r="AC27" s="59"/>
      <c r="AD27" s="72"/>
      <c r="AE27" s="73"/>
      <c r="AF27" s="53"/>
      <c r="AG27" s="60"/>
      <c r="AH27" s="61">
        <f t="shared" si="2"/>
        <v>504.95</v>
      </c>
      <c r="AI27" s="62">
        <f t="shared" si="3"/>
        <v>-0.20160411921972476</v>
      </c>
    </row>
    <row r="28" spans="1:35" ht="14.25" customHeight="1" x14ac:dyDescent="0.2">
      <c r="A28" s="38" t="s">
        <v>42</v>
      </c>
      <c r="B28" s="54">
        <f>[1]Invoer!T26</f>
        <v>895.8</v>
      </c>
      <c r="C28" s="54">
        <f>[1]Invoer!V26</f>
        <v>-182.7</v>
      </c>
      <c r="D28" s="54">
        <f>[1]Invoer!X26</f>
        <v>0</v>
      </c>
      <c r="E28" s="55">
        <f t="shared" si="0"/>
        <v>713.09999999999991</v>
      </c>
      <c r="F28" s="55">
        <v>487</v>
      </c>
      <c r="G28" s="56">
        <v>520.9</v>
      </c>
      <c r="H28" s="56">
        <v>687</v>
      </c>
      <c r="I28" s="56">
        <v>597.29999999999995</v>
      </c>
      <c r="J28" s="56">
        <v>985</v>
      </c>
      <c r="K28" s="57">
        <v>772.37110904634278</v>
      </c>
      <c r="L28" s="57">
        <v>1500.6999999999998</v>
      </c>
      <c r="M28" s="57">
        <v>897.7</v>
      </c>
      <c r="N28" s="57">
        <v>905.3</v>
      </c>
      <c r="O28" s="57">
        <v>1040.5</v>
      </c>
      <c r="P28" s="57">
        <v>835.8</v>
      </c>
      <c r="Q28" s="57">
        <v>1107.7</v>
      </c>
      <c r="R28" s="57">
        <v>863.75</v>
      </c>
      <c r="S28" s="57">
        <v>1484.5</v>
      </c>
      <c r="T28" s="57">
        <f>1981.77-320+5</f>
        <v>1666.77</v>
      </c>
      <c r="U28" s="57">
        <f>244+275</f>
        <v>519</v>
      </c>
      <c r="V28" s="57"/>
      <c r="W28" s="57">
        <f t="shared" si="1"/>
        <v>519</v>
      </c>
      <c r="X28" s="57">
        <f>285+200+150+35+180+80+275+57+103.73+77.2+26.74+66.35+22+145.45</f>
        <v>1703.47</v>
      </c>
      <c r="Y28" s="57">
        <v>344</v>
      </c>
      <c r="Z28" s="57">
        <v>1569.48</v>
      </c>
      <c r="AA28" s="57">
        <v>484</v>
      </c>
      <c r="AB28" s="71"/>
      <c r="AC28" s="63"/>
      <c r="AD28" s="64">
        <v>407.26</v>
      </c>
      <c r="AE28" s="65"/>
      <c r="AF28" s="53"/>
      <c r="AG28" s="60"/>
      <c r="AH28" s="61">
        <f t="shared" si="2"/>
        <v>487</v>
      </c>
      <c r="AI28" s="62">
        <f t="shared" si="3"/>
        <v>0.46427104722792589</v>
      </c>
    </row>
    <row r="29" spans="1:35" ht="13.9" customHeight="1" x14ac:dyDescent="0.2">
      <c r="A29" s="38" t="s">
        <v>43</v>
      </c>
      <c r="B29" s="54">
        <f>[1]Invoer!T27</f>
        <v>500</v>
      </c>
      <c r="C29" s="54">
        <f>[1]Invoer!V27</f>
        <v>-60.4</v>
      </c>
      <c r="D29" s="54">
        <f>[1]Invoer!X27</f>
        <v>0</v>
      </c>
      <c r="E29" s="55">
        <f t="shared" si="0"/>
        <v>439.6</v>
      </c>
      <c r="F29" s="55">
        <v>158.6</v>
      </c>
      <c r="G29" s="56">
        <v>122.5</v>
      </c>
      <c r="H29" s="56">
        <v>127.5</v>
      </c>
      <c r="I29" s="56">
        <v>156.19999999999999</v>
      </c>
      <c r="J29" s="56">
        <v>177.2</v>
      </c>
      <c r="K29" s="57">
        <v>119.44628790067856</v>
      </c>
      <c r="L29" s="57">
        <v>105.3</v>
      </c>
      <c r="M29" s="57">
        <v>127.6</v>
      </c>
      <c r="N29" s="57">
        <v>110.4</v>
      </c>
      <c r="O29" s="57">
        <v>92.5</v>
      </c>
      <c r="P29" s="57">
        <v>64.400000000000006</v>
      </c>
      <c r="Q29" s="57">
        <v>119.8</v>
      </c>
      <c r="R29" s="57">
        <v>61.25</v>
      </c>
      <c r="S29" s="57"/>
      <c r="T29" s="57">
        <v>320</v>
      </c>
      <c r="U29" s="57"/>
      <c r="V29" s="57"/>
      <c r="W29" s="57"/>
      <c r="X29" s="57"/>
      <c r="Y29" s="57"/>
      <c r="Z29" s="57"/>
      <c r="AA29" s="57"/>
      <c r="AB29" s="24"/>
      <c r="AC29" s="63"/>
      <c r="AD29" s="66"/>
      <c r="AE29" s="67"/>
      <c r="AF29" s="53"/>
      <c r="AG29" s="60"/>
      <c r="AH29" s="61">
        <f t="shared" si="2"/>
        <v>158.6</v>
      </c>
      <c r="AI29" s="62">
        <f t="shared" si="3"/>
        <v>1.7717528373266083</v>
      </c>
    </row>
    <row r="30" spans="1:35" ht="14.25" customHeight="1" x14ac:dyDescent="0.2">
      <c r="A30" s="38" t="s">
        <v>44</v>
      </c>
      <c r="B30" s="54">
        <f>[1]Invoer!T28</f>
        <v>192.25</v>
      </c>
      <c r="C30" s="54">
        <f>[1]Invoer!V28</f>
        <v>-40</v>
      </c>
      <c r="D30" s="54">
        <f>[1]Invoer!X28</f>
        <v>0</v>
      </c>
      <c r="E30" s="55">
        <f t="shared" si="0"/>
        <v>152.25</v>
      </c>
      <c r="F30" s="55">
        <v>96.95</v>
      </c>
      <c r="G30" s="56">
        <v>85.1</v>
      </c>
      <c r="H30" s="56">
        <v>92.5</v>
      </c>
      <c r="I30" s="56">
        <v>110.25</v>
      </c>
      <c r="J30" s="56">
        <v>69.900000000000006</v>
      </c>
      <c r="K30" s="57">
        <v>62.56464301372047</v>
      </c>
      <c r="L30" s="57">
        <v>112.98999999999998</v>
      </c>
      <c r="M30" s="57">
        <v>94.13</v>
      </c>
      <c r="N30" s="57">
        <v>70.849999999999994</v>
      </c>
      <c r="O30" s="57">
        <v>92.399999999999991</v>
      </c>
      <c r="P30" s="57">
        <v>99.910000000000011</v>
      </c>
      <c r="Q30" s="57">
        <v>136.07</v>
      </c>
      <c r="R30" s="57">
        <v>107.72</v>
      </c>
      <c r="S30" s="57">
        <v>92.55</v>
      </c>
      <c r="T30" s="57">
        <v>882.9</v>
      </c>
      <c r="U30" s="57">
        <v>114.5</v>
      </c>
      <c r="V30" s="57">
        <v>417</v>
      </c>
      <c r="W30" s="57">
        <f t="shared" si="1"/>
        <v>531.5</v>
      </c>
      <c r="X30" s="57">
        <f>550+382.05</f>
        <v>932.05</v>
      </c>
      <c r="Y30" s="57">
        <f>114.5+450</f>
        <v>564.5</v>
      </c>
      <c r="Z30" s="57">
        <v>959.8</v>
      </c>
      <c r="AA30" s="57">
        <v>564.5</v>
      </c>
      <c r="AB30" s="58"/>
      <c r="AC30" s="59"/>
      <c r="AD30" s="46">
        <v>-50.55</v>
      </c>
      <c r="AE30" s="47"/>
      <c r="AF30" s="53"/>
      <c r="AG30" s="60"/>
      <c r="AH30" s="61">
        <f t="shared" si="2"/>
        <v>96.95</v>
      </c>
      <c r="AI30" s="62">
        <f t="shared" si="3"/>
        <v>0.57039711191335729</v>
      </c>
    </row>
    <row r="31" spans="1:35" ht="14.25" customHeight="1" x14ac:dyDescent="0.2">
      <c r="A31" s="38" t="s">
        <v>45</v>
      </c>
      <c r="B31" s="54">
        <f>[1]Invoer!T29</f>
        <v>130.15</v>
      </c>
      <c r="C31" s="54">
        <f>[1]Invoer!V29</f>
        <v>-25.4</v>
      </c>
      <c r="D31" s="54">
        <f>[1]Invoer!X29</f>
        <v>0</v>
      </c>
      <c r="E31" s="55">
        <f t="shared" si="0"/>
        <v>104.75</v>
      </c>
      <c r="F31" s="55">
        <v>118.25</v>
      </c>
      <c r="G31" s="56">
        <v>153.80000000000001</v>
      </c>
      <c r="H31" s="56">
        <v>133.69999999999999</v>
      </c>
      <c r="I31" s="56">
        <v>182.6</v>
      </c>
      <c r="J31" s="56">
        <v>127.45</v>
      </c>
      <c r="K31" s="57">
        <v>107.04701926046971</v>
      </c>
      <c r="L31" s="57">
        <v>115.45</v>
      </c>
      <c r="M31" s="57">
        <v>90.1</v>
      </c>
      <c r="N31" s="57">
        <v>73.699999999999989</v>
      </c>
      <c r="O31" s="57">
        <v>84.4</v>
      </c>
      <c r="P31" s="57">
        <v>101.85</v>
      </c>
      <c r="Q31" s="57">
        <v>124.9</v>
      </c>
      <c r="R31" s="57">
        <v>106.2</v>
      </c>
      <c r="S31" s="57">
        <v>56.25</v>
      </c>
      <c r="T31" s="57">
        <v>882.9</v>
      </c>
      <c r="U31" s="57">
        <v>114.5</v>
      </c>
      <c r="V31" s="57">
        <v>417</v>
      </c>
      <c r="W31" s="57">
        <f t="shared" si="1"/>
        <v>531.5</v>
      </c>
      <c r="X31" s="57">
        <f>550+382.05</f>
        <v>932.05</v>
      </c>
      <c r="Y31" s="57">
        <f>114.5+450</f>
        <v>564.5</v>
      </c>
      <c r="Z31" s="57">
        <v>959.8</v>
      </c>
      <c r="AA31" s="57">
        <v>564.5</v>
      </c>
      <c r="AB31" s="58"/>
      <c r="AC31" s="59"/>
      <c r="AD31" s="46">
        <v>-50.55</v>
      </c>
      <c r="AE31" s="47"/>
      <c r="AF31" s="53"/>
      <c r="AG31" s="60"/>
      <c r="AH31" s="61">
        <f t="shared" si="2"/>
        <v>118.25</v>
      </c>
      <c r="AI31" s="62">
        <f t="shared" si="3"/>
        <v>-0.11416490486257924</v>
      </c>
    </row>
    <row r="32" spans="1:35" ht="14.25" customHeight="1" x14ac:dyDescent="0.2">
      <c r="A32" s="38" t="s">
        <v>46</v>
      </c>
      <c r="B32" s="54">
        <f>[1]Invoer!T30</f>
        <v>352.6</v>
      </c>
      <c r="C32" s="54">
        <f>[1]Invoer!V30</f>
        <v>-36</v>
      </c>
      <c r="D32" s="54">
        <f>[1]Invoer!X30</f>
        <v>0</v>
      </c>
      <c r="E32" s="55">
        <f t="shared" si="0"/>
        <v>316.60000000000002</v>
      </c>
      <c r="F32" s="55">
        <v>0</v>
      </c>
      <c r="G32" s="56">
        <v>0</v>
      </c>
      <c r="H32" s="56">
        <v>32.5</v>
      </c>
      <c r="I32" s="56">
        <v>0</v>
      </c>
      <c r="J32" s="56">
        <f>[1]Invoer!AA24</f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21</v>
      </c>
      <c r="Q32" s="57">
        <v>20</v>
      </c>
      <c r="R32" s="57"/>
      <c r="S32" s="57"/>
      <c r="T32" s="57">
        <v>543.6</v>
      </c>
      <c r="U32" s="57">
        <v>152</v>
      </c>
      <c r="V32" s="57"/>
      <c r="W32" s="57">
        <f t="shared" si="1"/>
        <v>152</v>
      </c>
      <c r="X32" s="57">
        <f>325+40+130+60+50+29.79</f>
        <v>634.79</v>
      </c>
      <c r="Y32" s="57">
        <v>152</v>
      </c>
      <c r="Z32" s="57">
        <v>560.46</v>
      </c>
      <c r="AA32" s="57">
        <v>152</v>
      </c>
      <c r="AB32" s="58"/>
      <c r="AC32" s="59"/>
      <c r="AD32" s="46">
        <v>-253</v>
      </c>
      <c r="AE32" s="47"/>
      <c r="AF32" s="53"/>
      <c r="AG32" s="60"/>
      <c r="AH32" s="61">
        <f t="shared" si="2"/>
        <v>0</v>
      </c>
      <c r="AI32" s="62" t="e">
        <f t="shared" si="3"/>
        <v>#DIV/0!</v>
      </c>
    </row>
    <row r="33" spans="1:38" ht="14.25" customHeight="1" x14ac:dyDescent="0.2">
      <c r="A33" s="38" t="s">
        <v>47</v>
      </c>
      <c r="B33" s="54">
        <f>[1]Invoer!T32</f>
        <v>366.1</v>
      </c>
      <c r="C33" s="54">
        <f>[1]Invoer!V32</f>
        <v>-32.1</v>
      </c>
      <c r="D33" s="54">
        <f>[1]Invoer!X32</f>
        <v>0</v>
      </c>
      <c r="E33" s="55">
        <f t="shared" si="0"/>
        <v>334</v>
      </c>
      <c r="F33" s="55">
        <v>191.1</v>
      </c>
      <c r="G33" s="56">
        <v>110.95</v>
      </c>
      <c r="H33" s="56">
        <v>121.2</v>
      </c>
      <c r="I33" s="56">
        <v>128.85</v>
      </c>
      <c r="J33" s="56">
        <v>95.85</v>
      </c>
      <c r="K33" s="57">
        <v>173.74475182092647</v>
      </c>
      <c r="L33" s="57">
        <v>218.95000000000002</v>
      </c>
      <c r="M33" s="57">
        <v>88.04000000000002</v>
      </c>
      <c r="N33" s="57">
        <v>289.5</v>
      </c>
      <c r="O33" s="57">
        <v>118.7</v>
      </c>
      <c r="P33" s="57">
        <v>188.64</v>
      </c>
      <c r="Q33" s="57">
        <v>148.75</v>
      </c>
      <c r="R33" s="57">
        <v>247.3</v>
      </c>
      <c r="S33" s="57">
        <v>324.23</v>
      </c>
      <c r="T33" s="57">
        <v>1536</v>
      </c>
      <c r="U33" s="57">
        <v>214</v>
      </c>
      <c r="V33" s="57"/>
      <c r="W33" s="57"/>
      <c r="X33" s="57">
        <f>1058+214</f>
        <v>1272</v>
      </c>
      <c r="Y33" s="57">
        <v>214</v>
      </c>
      <c r="Z33" s="57">
        <v>1353</v>
      </c>
      <c r="AA33" s="57">
        <v>214</v>
      </c>
      <c r="AB33" s="58"/>
      <c r="AC33" s="45"/>
      <c r="AD33" s="46">
        <v>-620.75</v>
      </c>
      <c r="AE33" s="47"/>
      <c r="AF33" s="53"/>
      <c r="AG33" s="60"/>
      <c r="AH33" s="61">
        <f t="shared" si="2"/>
        <v>191.1</v>
      </c>
      <c r="AI33" s="62">
        <f t="shared" si="3"/>
        <v>0.74777603349031918</v>
      </c>
    </row>
    <row r="34" spans="1:38" ht="14.25" customHeight="1" x14ac:dyDescent="0.2">
      <c r="A34" s="38" t="s">
        <v>48</v>
      </c>
      <c r="B34" s="54">
        <f>[1]Invoer!T33</f>
        <v>1095.9000000000001</v>
      </c>
      <c r="C34" s="54">
        <f>[1]Invoer!V33</f>
        <v>-117</v>
      </c>
      <c r="D34" s="54">
        <f>[1]Invoer!X33</f>
        <v>0</v>
      </c>
      <c r="E34" s="55">
        <f t="shared" si="0"/>
        <v>978.90000000000009</v>
      </c>
      <c r="F34" s="55">
        <v>870.1</v>
      </c>
      <c r="G34" s="56">
        <v>566.22</v>
      </c>
      <c r="H34" s="56">
        <v>635.4</v>
      </c>
      <c r="I34" s="56">
        <v>777.9</v>
      </c>
      <c r="J34" s="56">
        <v>503.2</v>
      </c>
      <c r="K34" s="57">
        <v>732.75544574087553</v>
      </c>
      <c r="L34" s="57">
        <v>543.25</v>
      </c>
      <c r="M34" s="57">
        <v>626.5</v>
      </c>
      <c r="N34" s="57">
        <v>600.66</v>
      </c>
      <c r="O34" s="57">
        <v>724.77</v>
      </c>
      <c r="P34" s="57">
        <v>662.80000000000007</v>
      </c>
      <c r="Q34" s="57">
        <v>760.85</v>
      </c>
      <c r="R34" s="57">
        <v>608.63</v>
      </c>
      <c r="S34" s="57">
        <v>680.85</v>
      </c>
      <c r="T34" s="57"/>
      <c r="U34" s="57"/>
      <c r="V34" s="57"/>
      <c r="W34" s="57"/>
      <c r="X34" s="57"/>
      <c r="Y34" s="57"/>
      <c r="Z34" s="57"/>
      <c r="AA34" s="57"/>
      <c r="AB34" s="58"/>
      <c r="AC34" s="45"/>
      <c r="AD34" s="46"/>
      <c r="AE34" s="47"/>
      <c r="AF34" s="53"/>
      <c r="AG34" s="60"/>
      <c r="AH34" s="61">
        <f t="shared" si="2"/>
        <v>870.1</v>
      </c>
      <c r="AI34" s="62">
        <f t="shared" si="3"/>
        <v>0.12504309849442596</v>
      </c>
    </row>
    <row r="35" spans="1:38" ht="14.25" customHeight="1" x14ac:dyDescent="0.2">
      <c r="A35" s="38" t="s">
        <v>49</v>
      </c>
      <c r="B35" s="54">
        <f>[1]Invoer!T21</f>
        <v>0</v>
      </c>
      <c r="C35" s="54">
        <v>0</v>
      </c>
      <c r="D35" s="54">
        <f>[1]Invoer!X34</f>
        <v>0</v>
      </c>
      <c r="E35" s="55">
        <f t="shared" si="0"/>
        <v>0</v>
      </c>
      <c r="F35" s="55">
        <v>250</v>
      </c>
      <c r="G35" s="56">
        <f>C35+D35+E35</f>
        <v>0</v>
      </c>
      <c r="H35" s="56">
        <v>260</v>
      </c>
      <c r="I35" s="56">
        <v>0</v>
      </c>
      <c r="J35" s="56">
        <f>[1]Invoer!AA15</f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96.800000000000011</v>
      </c>
      <c r="Q35" s="57"/>
      <c r="R35" s="57"/>
      <c r="S35" s="57"/>
      <c r="T35" s="57">
        <v>200</v>
      </c>
      <c r="U35" s="57"/>
      <c r="V35" s="57"/>
      <c r="W35" s="57" t="s">
        <v>50</v>
      </c>
      <c r="X35" s="57"/>
      <c r="Y35" s="57"/>
      <c r="Z35" s="57">
        <v>100</v>
      </c>
      <c r="AA35" s="57"/>
      <c r="AB35" s="58"/>
      <c r="AC35" s="45"/>
      <c r="AD35" s="46">
        <v>-10</v>
      </c>
      <c r="AE35" s="47"/>
      <c r="AF35" s="53"/>
      <c r="AG35" s="60"/>
      <c r="AH35" s="61">
        <f t="shared" si="2"/>
        <v>250</v>
      </c>
      <c r="AI35" s="62">
        <f t="shared" si="3"/>
        <v>-1</v>
      </c>
    </row>
    <row r="36" spans="1:38" ht="14.25" customHeight="1" x14ac:dyDescent="0.2">
      <c r="A36" s="38" t="s">
        <v>51</v>
      </c>
      <c r="B36" s="54">
        <f>[1]Invoer!T35</f>
        <v>385.1</v>
      </c>
      <c r="C36" s="54">
        <f>[1]Invoer!V35</f>
        <v>-31.1</v>
      </c>
      <c r="D36" s="54">
        <f>[1]Invoer!X35</f>
        <v>0</v>
      </c>
      <c r="E36" s="55">
        <f t="shared" si="0"/>
        <v>354</v>
      </c>
      <c r="F36" s="55">
        <v>371.2</v>
      </c>
      <c r="G36" s="56">
        <v>231.3</v>
      </c>
      <c r="H36" s="56">
        <v>288.05</v>
      </c>
      <c r="I36" s="56">
        <v>265.10000000000002</v>
      </c>
      <c r="J36" s="56">
        <v>271.02</v>
      </c>
      <c r="K36" s="57">
        <v>161.83112120245914</v>
      </c>
      <c r="L36" s="57">
        <v>178.4</v>
      </c>
      <c r="M36" s="57">
        <v>178.1</v>
      </c>
      <c r="N36" s="57">
        <v>181.39999999999998</v>
      </c>
      <c r="O36" s="57">
        <v>218.69</v>
      </c>
      <c r="P36" s="57">
        <v>217.29999999999998</v>
      </c>
      <c r="Q36" s="57">
        <v>190.6</v>
      </c>
      <c r="R36" s="57">
        <v>202.09</v>
      </c>
      <c r="S36" s="57">
        <v>185.5</v>
      </c>
      <c r="T36" s="57">
        <v>200</v>
      </c>
      <c r="U36" s="57"/>
      <c r="V36" s="57"/>
      <c r="W36" s="57" t="s">
        <v>50</v>
      </c>
      <c r="X36" s="57"/>
      <c r="Y36" s="57"/>
      <c r="Z36" s="57">
        <v>100</v>
      </c>
      <c r="AA36" s="57"/>
      <c r="AB36" s="58"/>
      <c r="AC36" s="45"/>
      <c r="AD36" s="46">
        <v>-10</v>
      </c>
      <c r="AE36" s="47"/>
      <c r="AF36" s="53"/>
      <c r="AG36" s="60"/>
      <c r="AH36" s="61">
        <f t="shared" si="2"/>
        <v>371.2</v>
      </c>
      <c r="AI36" s="62">
        <f t="shared" si="3"/>
        <v>-4.6336206896551713E-2</v>
      </c>
    </row>
    <row r="37" spans="1:38" ht="14.25" customHeight="1" x14ac:dyDescent="0.2">
      <c r="A37" s="74" t="s">
        <v>52</v>
      </c>
      <c r="B37" s="54">
        <f>[1]Invoer!T36</f>
        <v>0</v>
      </c>
      <c r="C37" s="54">
        <f>[1]Invoer!V36</f>
        <v>0</v>
      </c>
      <c r="D37" s="54">
        <v>0</v>
      </c>
      <c r="E37" s="55">
        <f t="shared" ref="E37:F38" si="4">B37+C37+D37</f>
        <v>0</v>
      </c>
      <c r="F37" s="55">
        <v>315.55</v>
      </c>
      <c r="G37" s="56">
        <v>172</v>
      </c>
      <c r="H37" s="56">
        <v>292.2</v>
      </c>
      <c r="I37" s="56">
        <v>189.5</v>
      </c>
      <c r="J37" s="56">
        <v>149</v>
      </c>
      <c r="K37" s="57">
        <v>105.3937834417752</v>
      </c>
      <c r="L37" s="57">
        <v>86.5</v>
      </c>
      <c r="M37" s="57">
        <v>50</v>
      </c>
      <c r="N37" s="57">
        <v>50</v>
      </c>
      <c r="O37" s="57">
        <v>40</v>
      </c>
      <c r="P37" s="57">
        <v>25</v>
      </c>
      <c r="Q37" s="57">
        <v>25</v>
      </c>
      <c r="R37" s="57">
        <v>78.650000000000006</v>
      </c>
      <c r="S37" s="57">
        <v>13</v>
      </c>
      <c r="T37" s="57">
        <v>8.6300000000000008</v>
      </c>
      <c r="U37" s="57"/>
      <c r="V37" s="57"/>
      <c r="W37" s="57"/>
      <c r="X37" s="57"/>
      <c r="Y37" s="57"/>
      <c r="Z37" s="57"/>
      <c r="AA37" s="57"/>
      <c r="AB37" s="58"/>
      <c r="AC37" s="45"/>
      <c r="AD37" s="46"/>
      <c r="AE37" s="47"/>
      <c r="AF37" s="53"/>
      <c r="AG37" s="60"/>
      <c r="AH37" s="61">
        <f t="shared" si="2"/>
        <v>315.55</v>
      </c>
      <c r="AI37" s="62">
        <f t="shared" si="3"/>
        <v>-1</v>
      </c>
    </row>
    <row r="38" spans="1:38" ht="14.25" customHeight="1" x14ac:dyDescent="0.2">
      <c r="A38" s="74" t="s">
        <v>53</v>
      </c>
      <c r="B38" s="54">
        <v>0</v>
      </c>
      <c r="C38" s="54">
        <f>[1]Invoer!V38</f>
        <v>0</v>
      </c>
      <c r="D38" s="54">
        <f>[1]Invoer!X38</f>
        <v>0</v>
      </c>
      <c r="E38" s="55">
        <f t="shared" si="4"/>
        <v>0</v>
      </c>
      <c r="F38" s="55">
        <f t="shared" si="4"/>
        <v>0</v>
      </c>
      <c r="G38" s="56">
        <v>-104.4</v>
      </c>
      <c r="H38" s="56">
        <v>0</v>
      </c>
      <c r="I38" s="56">
        <v>-60</v>
      </c>
      <c r="J38" s="56">
        <f>[1]Invoer!AA38</f>
        <v>0</v>
      </c>
      <c r="K38" s="57">
        <v>0</v>
      </c>
      <c r="L38" s="57">
        <v>0</v>
      </c>
      <c r="M38" s="57">
        <v>-61.57</v>
      </c>
      <c r="N38" s="57"/>
      <c r="O38" s="57"/>
      <c r="P38" s="57"/>
      <c r="Q38" s="57"/>
      <c r="R38" s="57"/>
      <c r="S38" s="57"/>
      <c r="T38" s="57">
        <v>8.6300000000000008</v>
      </c>
      <c r="U38" s="57"/>
      <c r="V38" s="57"/>
      <c r="W38" s="57"/>
      <c r="X38" s="57"/>
      <c r="Y38" s="57"/>
      <c r="Z38" s="57"/>
      <c r="AA38" s="57"/>
      <c r="AB38" s="58"/>
      <c r="AC38" s="45"/>
      <c r="AD38" s="46"/>
      <c r="AE38" s="47"/>
      <c r="AF38" s="53"/>
      <c r="AG38" s="60"/>
      <c r="AH38" s="61">
        <f t="shared" si="2"/>
        <v>0</v>
      </c>
      <c r="AI38" s="62" t="e">
        <f t="shared" si="3"/>
        <v>#DIV/0!</v>
      </c>
    </row>
    <row r="39" spans="1:38" s="86" customFormat="1" ht="13.5" thickBot="1" x14ac:dyDescent="0.25">
      <c r="A39" s="75" t="s">
        <v>54</v>
      </c>
      <c r="B39" s="76">
        <f t="shared" ref="B39:J39" si="5">SUM(B7:B38)</f>
        <v>20646.349999999999</v>
      </c>
      <c r="C39" s="76">
        <f t="shared" si="5"/>
        <v>-2781</v>
      </c>
      <c r="D39" s="76">
        <f t="shared" si="5"/>
        <v>-1260</v>
      </c>
      <c r="E39" s="77">
        <f t="shared" si="5"/>
        <v>16605.349999999999</v>
      </c>
      <c r="F39" s="77">
        <f t="shared" si="5"/>
        <v>13728.300000000003</v>
      </c>
      <c r="G39" s="78">
        <f t="shared" si="5"/>
        <v>11072.640000000001</v>
      </c>
      <c r="H39" s="78">
        <f t="shared" si="5"/>
        <v>12908.550000000001</v>
      </c>
      <c r="I39" s="78">
        <f t="shared" si="5"/>
        <v>13956.650000000005</v>
      </c>
      <c r="J39" s="78">
        <f t="shared" si="5"/>
        <v>11178.220000000001</v>
      </c>
      <c r="K39" s="57">
        <v>12444.030000000004</v>
      </c>
      <c r="L39" s="57">
        <v>13365.139999999998</v>
      </c>
      <c r="M39" s="57">
        <v>11585.839999999998</v>
      </c>
      <c r="N39" s="57">
        <f>SUM(N7:N37)</f>
        <v>10848.98</v>
      </c>
      <c r="O39" s="57">
        <v>10634.15</v>
      </c>
      <c r="P39" s="57">
        <v>9955.5899999999983</v>
      </c>
      <c r="Q39" s="57">
        <v>10513.35</v>
      </c>
      <c r="R39" s="57">
        <f>SUM(R7:R37)</f>
        <v>8540.7999999999993</v>
      </c>
      <c r="S39" s="57">
        <f>SUM(S7:S37)</f>
        <v>9421.74</v>
      </c>
      <c r="T39" s="79">
        <f>SUM(T7:T38)</f>
        <v>12369.859999999999</v>
      </c>
      <c r="U39" s="79">
        <f>SUM(U7:U38)</f>
        <v>1996</v>
      </c>
      <c r="V39" s="79">
        <f>SUM(V7:V38)</f>
        <v>1215.79</v>
      </c>
      <c r="W39" s="79">
        <f>SUM(W7:W38)</f>
        <v>2997.79</v>
      </c>
      <c r="X39" s="79"/>
      <c r="Y39" s="79"/>
      <c r="Z39" s="79">
        <f>SUM(Z7:Z37)</f>
        <v>11643.739999999998</v>
      </c>
      <c r="AA39" s="79">
        <f>SUM(AA7:AA37)</f>
        <v>3323.9</v>
      </c>
      <c r="AB39" s="80"/>
      <c r="AC39" s="81"/>
      <c r="AD39" s="82">
        <v>1073.27</v>
      </c>
      <c r="AE39" s="83"/>
      <c r="AF39" s="84"/>
      <c r="AG39" s="85"/>
      <c r="AH39" s="61">
        <f t="shared" si="2"/>
        <v>13728.300000000003</v>
      </c>
      <c r="AI39" s="62">
        <f t="shared" si="3"/>
        <v>0.20957074073264681</v>
      </c>
      <c r="AJ39" s="7"/>
      <c r="AK39" s="7"/>
      <c r="AL39" s="7"/>
    </row>
    <row r="40" spans="1:38" ht="9.75" hidden="1" customHeight="1" x14ac:dyDescent="0.2">
      <c r="A40" s="87"/>
      <c r="B40" s="88"/>
      <c r="C40" s="88"/>
      <c r="D40" s="88"/>
      <c r="E40" s="89">
        <f t="shared" ref="E40:J40" si="6">SUM(E8:E38)</f>
        <v>16513.55</v>
      </c>
      <c r="F40" s="89">
        <f t="shared" si="6"/>
        <v>13655.300000000003</v>
      </c>
      <c r="G40" s="76">
        <f t="shared" si="6"/>
        <v>10966.09</v>
      </c>
      <c r="H40" s="76">
        <f t="shared" si="6"/>
        <v>12819.900000000001</v>
      </c>
      <c r="I40" s="76">
        <f t="shared" si="6"/>
        <v>13895.100000000004</v>
      </c>
      <c r="J40" s="76">
        <f t="shared" si="6"/>
        <v>11119.170000000002</v>
      </c>
      <c r="K40" s="57">
        <v>11550.559367234286</v>
      </c>
      <c r="L40" s="57">
        <v>12589.140000000001</v>
      </c>
      <c r="M40" s="57">
        <v>10621.72</v>
      </c>
      <c r="N40" s="57">
        <f>SUM(N8:N38)</f>
        <v>10745.529999999999</v>
      </c>
      <c r="O40" s="57">
        <v>9822.1</v>
      </c>
      <c r="P40" s="57">
        <v>9249.77</v>
      </c>
      <c r="Q40" s="57"/>
      <c r="R40" s="57"/>
      <c r="S40" s="57"/>
      <c r="T40" s="57"/>
      <c r="U40" s="57"/>
      <c r="V40" s="57"/>
      <c r="W40" s="57">
        <v>2707.29</v>
      </c>
      <c r="X40" s="57"/>
      <c r="Y40" s="57"/>
      <c r="Z40" s="57"/>
      <c r="AA40" s="57"/>
      <c r="AB40" s="58"/>
      <c r="AC40" s="45"/>
      <c r="AD40" s="46"/>
      <c r="AE40" s="47"/>
      <c r="AF40" s="53"/>
      <c r="AH40" s="61">
        <f t="shared" si="2"/>
        <v>13655.300000000003</v>
      </c>
      <c r="AI40" s="62">
        <f t="shared" si="3"/>
        <v>0.20931433216406781</v>
      </c>
    </row>
    <row r="41" spans="1:38" ht="14.25" hidden="1" customHeight="1" thickTop="1" x14ac:dyDescent="0.2">
      <c r="A41" s="38" t="s">
        <v>55</v>
      </c>
      <c r="B41" s="23"/>
      <c r="C41" s="23"/>
      <c r="D41" s="23"/>
      <c r="E41" s="90"/>
      <c r="F41" s="90"/>
      <c r="G41" s="91"/>
      <c r="H41" s="91"/>
      <c r="I41" s="91"/>
      <c r="J41" s="92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45"/>
      <c r="AD41" s="46"/>
      <c r="AE41" s="47"/>
      <c r="AF41" s="53"/>
      <c r="AH41" s="61">
        <f t="shared" si="2"/>
        <v>0</v>
      </c>
      <c r="AI41" s="62" t="e">
        <f t="shared" si="3"/>
        <v>#DIV/0!</v>
      </c>
    </row>
    <row r="42" spans="1:38" ht="14.25" hidden="1" customHeight="1" thickTop="1" x14ac:dyDescent="0.2">
      <c r="A42" s="38" t="s">
        <v>56</v>
      </c>
      <c r="B42" s="57"/>
      <c r="C42" s="57"/>
      <c r="D42" s="57"/>
      <c r="E42" s="93"/>
      <c r="F42" s="93"/>
      <c r="G42" s="94"/>
      <c r="H42" s="94"/>
      <c r="I42" s="94"/>
      <c r="J42" s="94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8"/>
      <c r="AC42" s="45"/>
      <c r="AD42" s="46"/>
      <c r="AE42" s="47"/>
      <c r="AF42" s="53"/>
      <c r="AH42" s="61">
        <f t="shared" si="2"/>
        <v>0</v>
      </c>
      <c r="AI42" s="62" t="e">
        <f t="shared" si="3"/>
        <v>#DIV/0!</v>
      </c>
    </row>
    <row r="43" spans="1:38" ht="14.25" hidden="1" customHeight="1" x14ac:dyDescent="0.2">
      <c r="A43" s="38" t="s">
        <v>57</v>
      </c>
      <c r="B43" s="57"/>
      <c r="C43" s="57"/>
      <c r="D43" s="57"/>
      <c r="E43" s="93"/>
      <c r="F43" s="93"/>
      <c r="G43" s="94"/>
      <c r="H43" s="94"/>
      <c r="I43" s="94"/>
      <c r="J43" s="94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8"/>
      <c r="AC43" s="45"/>
      <c r="AD43" s="46"/>
      <c r="AE43" s="47"/>
      <c r="AF43" s="53"/>
      <c r="AH43" s="61">
        <f t="shared" si="2"/>
        <v>0</v>
      </c>
      <c r="AI43" s="62" t="e">
        <f t="shared" si="3"/>
        <v>#DIV/0!</v>
      </c>
    </row>
    <row r="44" spans="1:38" ht="14.25" hidden="1" customHeight="1" x14ac:dyDescent="0.2">
      <c r="A44" s="38" t="s">
        <v>58</v>
      </c>
      <c r="B44" s="57"/>
      <c r="C44" s="57"/>
      <c r="D44" s="57"/>
      <c r="E44" s="93"/>
      <c r="F44" s="93"/>
      <c r="G44" s="94"/>
      <c r="H44" s="94"/>
      <c r="I44" s="94"/>
      <c r="J44" s="94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8"/>
      <c r="AC44" s="45"/>
      <c r="AD44" s="46"/>
      <c r="AE44" s="47"/>
      <c r="AF44" s="53"/>
      <c r="AH44" s="61">
        <f t="shared" si="2"/>
        <v>0</v>
      </c>
      <c r="AI44" s="62" t="e">
        <f t="shared" si="3"/>
        <v>#DIV/0!</v>
      </c>
    </row>
    <row r="45" spans="1:38" ht="12" hidden="1" customHeight="1" x14ac:dyDescent="0.2">
      <c r="A45" s="38"/>
      <c r="B45" s="57"/>
      <c r="C45" s="57"/>
      <c r="D45" s="57"/>
      <c r="E45" s="95"/>
      <c r="F45" s="95"/>
      <c r="G45" s="96"/>
      <c r="H45" s="96"/>
      <c r="I45" s="96"/>
      <c r="J45" s="96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5"/>
      <c r="AD45" s="46"/>
      <c r="AE45" s="47"/>
      <c r="AF45" s="53"/>
      <c r="AH45" s="61">
        <f t="shared" si="2"/>
        <v>0</v>
      </c>
      <c r="AI45" s="62" t="e">
        <f t="shared" si="3"/>
        <v>#DIV/0!</v>
      </c>
    </row>
    <row r="46" spans="1:38" ht="13.5" thickTop="1" x14ac:dyDescent="0.2">
      <c r="A46" s="38" t="s">
        <v>59</v>
      </c>
      <c r="B46" s="54">
        <f>[1]Invoer!T37</f>
        <v>0</v>
      </c>
      <c r="C46" s="54"/>
      <c r="D46" s="54">
        <f>[1]Invoer!X37</f>
        <v>-798.15</v>
      </c>
      <c r="E46" s="55">
        <f>[1]Invoer!Z37</f>
        <v>-798.15</v>
      </c>
      <c r="F46" s="55">
        <v>-759.05</v>
      </c>
      <c r="G46" s="56">
        <v>-666.2</v>
      </c>
      <c r="H46" s="56">
        <v>-408</v>
      </c>
      <c r="I46" s="56">
        <v>-385</v>
      </c>
      <c r="J46" s="56">
        <v>-426.76</v>
      </c>
      <c r="K46" s="57">
        <v>-368.5</v>
      </c>
      <c r="L46" s="57">
        <v>-335</v>
      </c>
      <c r="M46" s="57">
        <v>-391</v>
      </c>
      <c r="N46" s="57">
        <v>-395.5</v>
      </c>
      <c r="O46" s="57">
        <v>-633.03</v>
      </c>
      <c r="P46" s="57">
        <v>-723.1</v>
      </c>
      <c r="Q46" s="57">
        <v>-700</v>
      </c>
      <c r="R46" s="57">
        <v>-843.04</v>
      </c>
      <c r="S46" s="57">
        <v>-656.59</v>
      </c>
      <c r="T46" s="57"/>
      <c r="U46" s="57"/>
      <c r="V46" s="57">
        <f>185+45.53+33+15.5+5</f>
        <v>284.02999999999997</v>
      </c>
      <c r="W46" s="57"/>
      <c r="X46" s="57"/>
      <c r="Y46" s="57"/>
      <c r="Z46" s="57"/>
      <c r="AA46" s="57"/>
      <c r="AB46" s="58"/>
      <c r="AC46" s="45"/>
      <c r="AD46" s="46"/>
      <c r="AE46" s="47"/>
      <c r="AF46" s="53"/>
      <c r="AH46" s="61">
        <f t="shared" si="2"/>
        <v>-759.05</v>
      </c>
      <c r="AI46" s="62">
        <f t="shared" si="3"/>
        <v>5.1511758118701012E-2</v>
      </c>
    </row>
    <row r="47" spans="1:38" ht="15" customHeight="1" x14ac:dyDescent="0.2">
      <c r="A47" s="38" t="s">
        <v>60</v>
      </c>
      <c r="B47" s="54">
        <v>0</v>
      </c>
      <c r="C47" s="54"/>
      <c r="D47" s="54">
        <f>[1]Invoer!X39</f>
        <v>0</v>
      </c>
      <c r="E47" s="55">
        <f>[1]Invoer!Z39</f>
        <v>1.5</v>
      </c>
      <c r="F47" s="55">
        <f>[1]Invoer!AA39</f>
        <v>0</v>
      </c>
      <c r="G47" s="56"/>
      <c r="H47" s="56">
        <v>0</v>
      </c>
      <c r="I47" s="56">
        <v>-22.6</v>
      </c>
      <c r="J47" s="56">
        <v>9</v>
      </c>
      <c r="K47" s="57">
        <v>-42.7</v>
      </c>
      <c r="L47" s="57">
        <v>0</v>
      </c>
      <c r="M47" s="57">
        <v>0</v>
      </c>
      <c r="N47" s="57">
        <v>0</v>
      </c>
      <c r="O47" s="57">
        <v>0</v>
      </c>
      <c r="P47" s="57">
        <v>258.8</v>
      </c>
      <c r="Q47" s="57">
        <v>104</v>
      </c>
      <c r="R47" s="57">
        <v>161</v>
      </c>
      <c r="S47" s="57">
        <v>270.61</v>
      </c>
      <c r="T47" s="95"/>
      <c r="U47" s="95"/>
      <c r="V47" s="95"/>
      <c r="W47" s="95"/>
      <c r="X47" s="57"/>
      <c r="Y47" s="57"/>
      <c r="Z47" s="57"/>
      <c r="AA47" s="57"/>
      <c r="AB47" s="58"/>
      <c r="AC47" s="45"/>
      <c r="AD47" s="46"/>
      <c r="AE47" s="47"/>
      <c r="AF47" s="53"/>
      <c r="AH47" s="61">
        <f t="shared" si="2"/>
        <v>0</v>
      </c>
      <c r="AI47" s="62" t="e">
        <f t="shared" si="3"/>
        <v>#DIV/0!</v>
      </c>
    </row>
    <row r="48" spans="1:38" s="107" customFormat="1" ht="13.5" thickBot="1" x14ac:dyDescent="0.25">
      <c r="A48" s="97" t="s">
        <v>61</v>
      </c>
      <c r="B48" s="98">
        <f t="shared" ref="B48:J48" si="7">B39+B46+B47</f>
        <v>20646.349999999999</v>
      </c>
      <c r="C48" s="98">
        <f t="shared" si="7"/>
        <v>-2781</v>
      </c>
      <c r="D48" s="98">
        <f t="shared" si="7"/>
        <v>-2058.15</v>
      </c>
      <c r="E48" s="99">
        <f t="shared" si="7"/>
        <v>15808.699999999999</v>
      </c>
      <c r="F48" s="99">
        <f t="shared" si="7"/>
        <v>12969.250000000004</v>
      </c>
      <c r="G48" s="98">
        <f t="shared" si="7"/>
        <v>10406.44</v>
      </c>
      <c r="H48" s="98">
        <f t="shared" si="7"/>
        <v>12500.550000000001</v>
      </c>
      <c r="I48" s="98">
        <f t="shared" si="7"/>
        <v>13549.050000000005</v>
      </c>
      <c r="J48" s="98">
        <f t="shared" si="7"/>
        <v>10760.460000000001</v>
      </c>
      <c r="K48" s="98">
        <v>12032.830000000004</v>
      </c>
      <c r="L48" s="98">
        <v>13030.139999999998</v>
      </c>
      <c r="M48" s="98">
        <v>11194.839999999998</v>
      </c>
      <c r="N48" s="98">
        <v>10453.48</v>
      </c>
      <c r="O48" s="98">
        <v>10001.119999999999</v>
      </c>
      <c r="P48" s="98">
        <v>9491.2899999999972</v>
      </c>
      <c r="Q48" s="98">
        <v>9709.35</v>
      </c>
      <c r="R48" s="98">
        <v>7536.76</v>
      </c>
      <c r="S48" s="98">
        <v>8494.5400000000009</v>
      </c>
      <c r="T48" s="99"/>
      <c r="U48" s="99"/>
      <c r="V48" s="99"/>
      <c r="W48" s="99"/>
      <c r="X48" s="99" t="e">
        <f>#REF!-#REF!</f>
        <v>#REF!</v>
      </c>
      <c r="Y48" s="99">
        <f>X39-X46</f>
        <v>0</v>
      </c>
      <c r="Z48" s="99">
        <f>Y39-Y46</f>
        <v>0</v>
      </c>
      <c r="AA48" s="99">
        <f>Z39-Z46</f>
        <v>11643.739999999998</v>
      </c>
      <c r="AB48" s="100"/>
      <c r="AC48" s="101"/>
      <c r="AD48" s="102"/>
      <c r="AE48" s="103">
        <v>-957.78</v>
      </c>
      <c r="AF48" s="104"/>
      <c r="AG48" s="105"/>
      <c r="AH48" s="61">
        <f t="shared" si="2"/>
        <v>12969.250000000004</v>
      </c>
      <c r="AI48" s="62">
        <f t="shared" si="3"/>
        <v>0.2189371012201935</v>
      </c>
      <c r="AJ48" s="106"/>
      <c r="AK48" s="106"/>
      <c r="AL48" s="106"/>
    </row>
    <row r="49" spans="1:35" ht="13.5" thickTop="1" x14ac:dyDescent="0.2">
      <c r="A49" s="108"/>
      <c r="B49" s="109"/>
      <c r="C49" s="109"/>
      <c r="D49" s="109"/>
      <c r="E49" s="110"/>
      <c r="F49" s="110"/>
      <c r="G49" s="109"/>
      <c r="H49" s="110"/>
      <c r="I49" s="110"/>
      <c r="J49" s="109"/>
      <c r="K49" s="111"/>
      <c r="L49" s="111"/>
      <c r="M49" s="111"/>
      <c r="N49" s="111"/>
      <c r="O49" s="111"/>
      <c r="P49" s="111"/>
      <c r="Q49" s="111"/>
      <c r="R49" s="111"/>
      <c r="S49" s="111"/>
      <c r="T49" s="109"/>
      <c r="X49" s="112"/>
      <c r="AA49" s="7"/>
      <c r="AB49" s="7"/>
      <c r="AC49" s="7"/>
      <c r="AD49" s="7"/>
      <c r="AE49" s="113"/>
      <c r="AF49" s="114"/>
      <c r="AG49" s="114"/>
      <c r="AH49" s="115"/>
      <c r="AI49" s="116"/>
    </row>
    <row r="50" spans="1:35" ht="12" customHeight="1" x14ac:dyDescent="0.2">
      <c r="U50" s="109"/>
      <c r="AA50" s="7"/>
      <c r="AB50" s="7"/>
      <c r="AC50" s="7"/>
      <c r="AD50" s="7"/>
      <c r="AE50" s="113"/>
      <c r="AH50" s="117"/>
      <c r="AI50" s="118"/>
    </row>
    <row r="51" spans="1:35" x14ac:dyDescent="0.2">
      <c r="A51" s="26"/>
      <c r="B51" s="45"/>
      <c r="C51" s="45"/>
      <c r="D51" s="45"/>
      <c r="E51" s="81"/>
      <c r="F51" s="81"/>
      <c r="G51" s="45"/>
      <c r="H51" s="81"/>
      <c r="I51" s="81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26"/>
      <c r="AB51" s="26"/>
      <c r="AC51" s="26"/>
      <c r="AD51" s="7"/>
      <c r="AE51" s="113"/>
      <c r="AH51" s="117"/>
      <c r="AI51" s="118"/>
    </row>
    <row r="52" spans="1:35" x14ac:dyDescent="0.2">
      <c r="A52" s="26"/>
      <c r="B52" s="45"/>
      <c r="C52" s="45"/>
      <c r="D52" s="45"/>
      <c r="E52" s="81"/>
      <c r="F52" s="81"/>
      <c r="G52" s="45"/>
      <c r="H52" s="81"/>
      <c r="I52" s="81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26"/>
      <c r="AB52" s="26"/>
      <c r="AC52" s="26"/>
      <c r="AD52" s="7"/>
      <c r="AE52" s="113"/>
      <c r="AH52" s="117"/>
      <c r="AI52" s="118"/>
    </row>
    <row r="53" spans="1:35" x14ac:dyDescent="0.2">
      <c r="A53" s="26"/>
      <c r="B53" s="45"/>
      <c r="C53" s="45"/>
      <c r="D53" s="45"/>
      <c r="E53" s="86"/>
      <c r="F53" s="86"/>
      <c r="G53" s="7"/>
      <c r="H53" s="86"/>
      <c r="I53" s="86"/>
      <c r="J53" s="7"/>
      <c r="K53" s="7"/>
      <c r="L53" s="7"/>
      <c r="M53" s="7"/>
      <c r="N53" s="7"/>
      <c r="O53" s="7"/>
      <c r="P53" s="7"/>
      <c r="Q53" s="7"/>
      <c r="R53" s="7"/>
      <c r="S53" s="7"/>
      <c r="T53" s="45"/>
      <c r="U53" s="45"/>
      <c r="V53" s="45"/>
      <c r="W53" s="45"/>
      <c r="X53" s="45"/>
      <c r="Y53" s="45"/>
      <c r="Z53" s="45"/>
      <c r="AA53" s="26"/>
      <c r="AB53" s="26"/>
      <c r="AC53" s="26"/>
      <c r="AD53" s="7"/>
      <c r="AE53" s="113"/>
      <c r="AH53" s="117"/>
      <c r="AI53" s="118"/>
    </row>
    <row r="54" spans="1:35" x14ac:dyDescent="0.2">
      <c r="A54" s="26"/>
      <c r="B54" s="45"/>
      <c r="C54" s="45"/>
      <c r="D54" s="45"/>
      <c r="E54" s="86"/>
      <c r="F54" s="86"/>
      <c r="G54" s="7"/>
      <c r="H54" s="86"/>
      <c r="I54" s="86"/>
      <c r="J54" s="7"/>
      <c r="K54" s="7"/>
      <c r="L54" s="7"/>
      <c r="M54" s="7"/>
      <c r="N54" s="7"/>
      <c r="O54" s="7"/>
      <c r="P54" s="7"/>
      <c r="Q54" s="7"/>
      <c r="R54" s="7"/>
      <c r="S54" s="7"/>
      <c r="T54" s="45"/>
      <c r="U54" s="45"/>
      <c r="V54" s="45"/>
      <c r="W54" s="45"/>
      <c r="X54" s="45"/>
      <c r="Y54" s="45"/>
      <c r="Z54" s="45"/>
      <c r="AA54" s="26"/>
      <c r="AB54" s="26"/>
      <c r="AC54" s="26"/>
      <c r="AD54" s="7"/>
      <c r="AE54" s="113"/>
      <c r="AH54" s="117"/>
      <c r="AI54" s="118"/>
    </row>
    <row r="55" spans="1:35" x14ac:dyDescent="0.2">
      <c r="A55" s="26"/>
      <c r="B55" s="45"/>
      <c r="C55" s="45"/>
      <c r="D55" s="45"/>
      <c r="E55" s="81"/>
      <c r="F55" s="81"/>
      <c r="G55" s="45"/>
      <c r="H55" s="81"/>
      <c r="I55" s="81"/>
      <c r="J55" s="45"/>
      <c r="K55" s="45"/>
      <c r="L55" s="45"/>
      <c r="M55" s="45"/>
      <c r="N55" s="45"/>
      <c r="O55" s="45"/>
      <c r="P55" s="7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26"/>
      <c r="AB55" s="26"/>
      <c r="AC55" s="26"/>
      <c r="AD55" s="7"/>
      <c r="AE55" s="113"/>
      <c r="AH55" s="117"/>
      <c r="AI55" s="118"/>
    </row>
    <row r="56" spans="1:35" x14ac:dyDescent="0.2">
      <c r="A56" s="26"/>
      <c r="B56" s="45"/>
      <c r="C56" s="45"/>
      <c r="D56" s="45"/>
      <c r="E56" s="81"/>
      <c r="F56" s="81"/>
      <c r="G56" s="45"/>
      <c r="H56" s="81"/>
      <c r="I56" s="81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26"/>
      <c r="Z56" s="26"/>
      <c r="AA56" s="26"/>
      <c r="AB56" s="7"/>
      <c r="AC56" s="113"/>
      <c r="AD56" s="7"/>
      <c r="AE56" s="7"/>
      <c r="AF56" s="117"/>
      <c r="AG56" s="118"/>
      <c r="AH56" s="7"/>
      <c r="AI56" s="7"/>
    </row>
    <row r="57" spans="1:35" x14ac:dyDescent="0.2">
      <c r="A57" s="45"/>
      <c r="B57" s="29">
        <v>2007</v>
      </c>
      <c r="C57" s="28">
        <v>2008</v>
      </c>
      <c r="D57" s="28">
        <v>2009</v>
      </c>
      <c r="E57" s="28">
        <v>2010</v>
      </c>
      <c r="F57" s="28">
        <v>2011</v>
      </c>
      <c r="G57" s="28">
        <v>2012</v>
      </c>
      <c r="H57" s="28">
        <v>2013</v>
      </c>
      <c r="I57" s="28">
        <v>2014</v>
      </c>
      <c r="J57" s="28">
        <v>2015</v>
      </c>
      <c r="K57" s="28">
        <v>2016</v>
      </c>
      <c r="L57" s="28">
        <v>2017</v>
      </c>
      <c r="M57" s="28">
        <v>2018</v>
      </c>
      <c r="N57" s="28">
        <v>2019</v>
      </c>
      <c r="O57" s="28">
        <v>2022</v>
      </c>
      <c r="P57" s="28">
        <v>2023</v>
      </c>
      <c r="Q57" s="28">
        <v>2024</v>
      </c>
      <c r="R57" s="28">
        <v>2025</v>
      </c>
      <c r="S57" s="28">
        <v>2026</v>
      </c>
      <c r="T57" s="28">
        <v>2027</v>
      </c>
      <c r="U57" s="28">
        <v>2028</v>
      </c>
      <c r="V57" s="28">
        <v>2029</v>
      </c>
      <c r="W57" s="28">
        <v>2030</v>
      </c>
      <c r="X57" s="119">
        <v>2017</v>
      </c>
      <c r="Y57" s="28">
        <v>2018</v>
      </c>
      <c r="Z57" s="119">
        <v>2019</v>
      </c>
      <c r="AA57" s="119">
        <v>2022</v>
      </c>
      <c r="AB57" s="119">
        <v>2023</v>
      </c>
      <c r="AC57" s="7"/>
      <c r="AD57" s="7"/>
      <c r="AE57" s="120"/>
      <c r="AF57" s="121"/>
      <c r="AH57" s="7"/>
      <c r="AI57" s="7"/>
    </row>
    <row r="58" spans="1:35" ht="13.5" thickBot="1" x14ac:dyDescent="0.25">
      <c r="A58" s="122" t="s">
        <v>62</v>
      </c>
      <c r="B58" s="123">
        <v>8494.5400000000009</v>
      </c>
      <c r="C58" s="124">
        <v>7536.76</v>
      </c>
      <c r="D58" s="124">
        <v>9709.35</v>
      </c>
      <c r="E58" s="124">
        <v>9491.2899999999972</v>
      </c>
      <c r="F58" s="124">
        <v>10001.119999999999</v>
      </c>
      <c r="G58" s="124">
        <v>10453.48</v>
      </c>
      <c r="H58" s="124">
        <v>11194.839999999998</v>
      </c>
      <c r="I58" s="124">
        <v>13030.139999999998</v>
      </c>
      <c r="J58" s="124">
        <v>12032.830000000004</v>
      </c>
      <c r="K58" s="124">
        <v>10760.46</v>
      </c>
      <c r="L58" s="45">
        <v>13549.05</v>
      </c>
      <c r="M58" s="45">
        <v>12500.55</v>
      </c>
      <c r="N58" s="45">
        <v>10396.44</v>
      </c>
      <c r="O58" s="45">
        <f>F48</f>
        <v>12969.250000000004</v>
      </c>
      <c r="P58" s="45">
        <f>E48</f>
        <v>15808.699999999999</v>
      </c>
      <c r="Q58" s="26"/>
      <c r="R58" s="26"/>
      <c r="S58" s="26"/>
      <c r="T58" s="7"/>
      <c r="U58" s="113"/>
      <c r="V58" s="7"/>
      <c r="W58" s="7"/>
      <c r="X58" s="125">
        <v>13549.05</v>
      </c>
      <c r="Y58" s="106">
        <v>12500.55</v>
      </c>
      <c r="Z58" s="126">
        <f>G48</f>
        <v>10406.44</v>
      </c>
      <c r="AA58" s="7">
        <f>F48</f>
        <v>12969.250000000004</v>
      </c>
      <c r="AB58" s="7">
        <f>E48</f>
        <v>15808.699999999999</v>
      </c>
      <c r="AC58" s="7"/>
      <c r="AD58" s="7"/>
      <c r="AE58" s="120"/>
      <c r="AF58" s="121"/>
      <c r="AH58" s="7"/>
      <c r="AI58" s="7"/>
    </row>
    <row r="59" spans="1:35" ht="12.75" thickTop="1" x14ac:dyDescent="0.2">
      <c r="M59" s="45"/>
      <c r="AA59" s="7"/>
      <c r="AB59" s="7"/>
      <c r="AC59" s="7"/>
      <c r="AD59" s="7"/>
      <c r="AE59" s="113"/>
      <c r="AH59" s="117"/>
      <c r="AI59" s="118"/>
    </row>
    <row r="60" spans="1:35" x14ac:dyDescent="0.2">
      <c r="A60" s="26"/>
      <c r="B60" s="45"/>
      <c r="C60" s="45"/>
      <c r="D60" s="45"/>
      <c r="E60" s="81"/>
      <c r="F60" s="81"/>
      <c r="G60" s="45"/>
      <c r="H60" s="81"/>
      <c r="I60" s="81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AA60" s="7"/>
      <c r="AB60" s="7"/>
      <c r="AC60" s="7"/>
      <c r="AD60" s="7"/>
      <c r="AE60" s="113"/>
      <c r="AH60" s="117"/>
      <c r="AI60" s="118"/>
    </row>
    <row r="61" spans="1:35" x14ac:dyDescent="0.2">
      <c r="AA61" s="7"/>
      <c r="AB61" s="7"/>
      <c r="AC61" s="7"/>
      <c r="AD61" s="7"/>
      <c r="AE61" s="113"/>
      <c r="AH61" s="117"/>
      <c r="AI61" s="118"/>
    </row>
    <row r="62" spans="1:35" x14ac:dyDescent="0.2">
      <c r="A62" s="26"/>
      <c r="B62" s="45"/>
      <c r="C62" s="45"/>
      <c r="D62" s="45"/>
      <c r="E62" s="81"/>
      <c r="F62" s="81"/>
      <c r="G62" s="45"/>
      <c r="H62" s="81"/>
      <c r="I62" s="81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AA62" s="7"/>
      <c r="AB62" s="7"/>
      <c r="AC62" s="7"/>
      <c r="AD62" s="7"/>
      <c r="AE62" s="113"/>
      <c r="AH62" s="117"/>
      <c r="AI62" s="118"/>
    </row>
    <row r="63" spans="1:35" x14ac:dyDescent="0.2">
      <c r="AA63" s="7"/>
      <c r="AB63" s="7"/>
      <c r="AC63" s="7"/>
      <c r="AD63" s="7"/>
      <c r="AE63" s="113"/>
      <c r="AH63" s="117"/>
      <c r="AI63" s="118"/>
    </row>
    <row r="64" spans="1:35" x14ac:dyDescent="0.2">
      <c r="A64" s="26"/>
      <c r="B64" s="45"/>
      <c r="C64" s="45"/>
      <c r="D64" s="45"/>
      <c r="E64" s="81"/>
      <c r="F64" s="81"/>
      <c r="G64" s="45"/>
      <c r="H64" s="81"/>
      <c r="I64" s="81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AA64" s="7"/>
      <c r="AB64" s="7"/>
      <c r="AC64" s="7"/>
      <c r="AD64" s="7"/>
      <c r="AE64" s="113"/>
      <c r="AH64" s="117"/>
      <c r="AI64" s="118"/>
    </row>
    <row r="65" spans="1:35" x14ac:dyDescent="0.2">
      <c r="AA65" s="7"/>
      <c r="AB65" s="7"/>
      <c r="AC65" s="7"/>
      <c r="AD65" s="7"/>
      <c r="AE65" s="113"/>
      <c r="AH65" s="117"/>
      <c r="AI65" s="118"/>
    </row>
    <row r="66" spans="1:35" x14ac:dyDescent="0.2">
      <c r="A66" s="26"/>
      <c r="B66" s="45"/>
      <c r="C66" s="45"/>
      <c r="D66" s="45"/>
      <c r="E66" s="81"/>
      <c r="F66" s="81"/>
      <c r="G66" s="45"/>
      <c r="H66" s="81"/>
      <c r="I66" s="81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AA66" s="7"/>
      <c r="AB66" s="7"/>
      <c r="AC66" s="7"/>
      <c r="AD66" s="7"/>
      <c r="AE66" s="113"/>
      <c r="AH66" s="117"/>
      <c r="AI66" s="118"/>
    </row>
    <row r="67" spans="1:35" x14ac:dyDescent="0.2">
      <c r="AA67" s="7"/>
      <c r="AB67" s="7"/>
      <c r="AC67" s="7"/>
      <c r="AD67" s="7"/>
      <c r="AE67" s="113"/>
      <c r="AH67" s="117"/>
      <c r="AI67" s="118"/>
    </row>
    <row r="68" spans="1:35" x14ac:dyDescent="0.2">
      <c r="A68" s="26"/>
      <c r="B68" s="45"/>
      <c r="C68" s="45"/>
      <c r="D68" s="45"/>
      <c r="E68" s="81"/>
      <c r="F68" s="81"/>
      <c r="G68" s="45"/>
      <c r="H68" s="81"/>
      <c r="I68" s="81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AA68" s="7"/>
      <c r="AB68" s="7"/>
      <c r="AC68" s="7"/>
      <c r="AD68" s="7"/>
      <c r="AE68" s="113"/>
      <c r="AH68" s="117"/>
      <c r="AI68" s="118"/>
    </row>
    <row r="69" spans="1:35" x14ac:dyDescent="0.2">
      <c r="AA69" s="7"/>
      <c r="AB69" s="7"/>
      <c r="AC69" s="7"/>
      <c r="AD69" s="7"/>
      <c r="AE69" s="113"/>
      <c r="AH69" s="117"/>
      <c r="AI69" s="118"/>
    </row>
    <row r="70" spans="1:35" x14ac:dyDescent="0.2">
      <c r="A70" s="26"/>
      <c r="B70" s="45"/>
      <c r="C70" s="45"/>
      <c r="D70" s="45"/>
      <c r="E70" s="81"/>
      <c r="F70" s="81"/>
      <c r="G70" s="45"/>
      <c r="H70" s="81"/>
      <c r="I70" s="81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AA70" s="7"/>
      <c r="AB70" s="7"/>
      <c r="AC70" s="7"/>
      <c r="AD70" s="7"/>
      <c r="AE70" s="113"/>
      <c r="AH70" s="117"/>
      <c r="AI70" s="118"/>
    </row>
    <row r="71" spans="1:35" x14ac:dyDescent="0.2">
      <c r="AA71" s="7"/>
      <c r="AB71" s="7"/>
      <c r="AC71" s="7"/>
      <c r="AD71" s="7"/>
      <c r="AE71" s="113"/>
      <c r="AH71" s="117"/>
      <c r="AI71" s="118"/>
    </row>
    <row r="72" spans="1:35" x14ac:dyDescent="0.2">
      <c r="A72" s="26"/>
      <c r="B72" s="45"/>
      <c r="C72" s="45"/>
      <c r="D72" s="45"/>
      <c r="E72" s="81"/>
      <c r="F72" s="81"/>
      <c r="G72" s="45"/>
      <c r="H72" s="81"/>
      <c r="I72" s="81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AA72" s="7"/>
      <c r="AB72" s="7"/>
      <c r="AC72" s="7"/>
      <c r="AD72" s="7"/>
      <c r="AE72" s="113"/>
      <c r="AH72" s="117"/>
      <c r="AI72" s="118"/>
    </row>
    <row r="73" spans="1:35" x14ac:dyDescent="0.2">
      <c r="AA73" s="7"/>
      <c r="AB73" s="7"/>
      <c r="AC73" s="7"/>
      <c r="AD73" s="7"/>
      <c r="AE73" s="113"/>
      <c r="AH73" s="117"/>
      <c r="AI73" s="118"/>
    </row>
    <row r="74" spans="1:35" x14ac:dyDescent="0.2">
      <c r="A74" s="26"/>
      <c r="B74" s="45"/>
      <c r="C74" s="45"/>
      <c r="D74" s="45"/>
      <c r="E74" s="81"/>
      <c r="F74" s="81"/>
      <c r="G74" s="45"/>
      <c r="H74" s="81"/>
      <c r="I74" s="81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AA74" s="7"/>
      <c r="AB74" s="7"/>
      <c r="AC74" s="7"/>
      <c r="AD74" s="7"/>
      <c r="AE74" s="113"/>
      <c r="AH74" s="117"/>
      <c r="AI74" s="118"/>
    </row>
    <row r="76" spans="1:35" x14ac:dyDescent="0.2">
      <c r="A76" s="26"/>
      <c r="B76" s="45"/>
      <c r="C76" s="45"/>
      <c r="D76" s="45"/>
      <c r="E76" s="81"/>
      <c r="F76" s="81"/>
      <c r="G76" s="45"/>
      <c r="H76" s="81"/>
      <c r="I76" s="81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</row>
    <row r="78" spans="1:35" x14ac:dyDescent="0.2">
      <c r="A78" s="26"/>
      <c r="B78" s="45"/>
      <c r="C78" s="45"/>
      <c r="D78" s="45"/>
      <c r="E78" s="81"/>
      <c r="F78" s="81"/>
      <c r="G78" s="45"/>
      <c r="H78" s="81"/>
      <c r="I78" s="81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</row>
    <row r="80" spans="1:35" x14ac:dyDescent="0.2">
      <c r="A80" s="26"/>
      <c r="B80" s="45"/>
      <c r="C80" s="45"/>
      <c r="D80" s="45"/>
      <c r="E80" s="81"/>
      <c r="F80" s="81"/>
      <c r="G80" s="45"/>
      <c r="H80" s="81"/>
      <c r="I80" s="81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</row>
    <row r="82" spans="1:23" x14ac:dyDescent="0.2">
      <c r="A82" s="26"/>
      <c r="B82" s="45"/>
      <c r="C82" s="45"/>
      <c r="D82" s="45"/>
      <c r="E82" s="81"/>
      <c r="F82" s="81"/>
      <c r="G82" s="45"/>
      <c r="H82" s="81"/>
      <c r="I82" s="81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</row>
    <row r="84" spans="1:23" x14ac:dyDescent="0.2">
      <c r="A84" s="26"/>
      <c r="B84" s="45"/>
      <c r="C84" s="45"/>
      <c r="D84" s="45"/>
      <c r="E84" s="81"/>
      <c r="F84" s="81"/>
      <c r="G84" s="45"/>
      <c r="H84" s="81"/>
      <c r="I84" s="81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</row>
    <row r="86" spans="1:23" x14ac:dyDescent="0.2">
      <c r="A86" s="26"/>
      <c r="B86" s="45"/>
      <c r="C86" s="45"/>
      <c r="D86" s="45"/>
      <c r="E86" s="81"/>
      <c r="F86" s="81"/>
      <c r="G86" s="45"/>
      <c r="H86" s="81"/>
      <c r="I86" s="81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</row>
    <row r="88" spans="1:23" x14ac:dyDescent="0.2">
      <c r="A88" s="26"/>
      <c r="B88" s="45"/>
      <c r="C88" s="45"/>
      <c r="D88" s="45"/>
      <c r="E88" s="81"/>
      <c r="F88" s="81"/>
      <c r="G88" s="45"/>
      <c r="H88" s="81"/>
      <c r="I88" s="81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90" spans="1:23" x14ac:dyDescent="0.2">
      <c r="A90" s="26"/>
      <c r="B90" s="45"/>
      <c r="C90" s="45"/>
      <c r="D90" s="45"/>
      <c r="E90" s="81"/>
      <c r="F90" s="81"/>
      <c r="G90" s="45"/>
      <c r="H90" s="81"/>
      <c r="I90" s="81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</row>
    <row r="92" spans="1:23" x14ac:dyDescent="0.2">
      <c r="A92" s="26"/>
      <c r="B92" s="45"/>
      <c r="C92" s="45"/>
      <c r="D92" s="45"/>
      <c r="E92" s="81"/>
      <c r="F92" s="81"/>
      <c r="G92" s="45"/>
      <c r="H92" s="81"/>
      <c r="I92" s="81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</row>
    <row r="94" spans="1:23" x14ac:dyDescent="0.2">
      <c r="A94" s="26"/>
      <c r="B94" s="45"/>
      <c r="C94" s="45"/>
      <c r="D94" s="45"/>
      <c r="E94" s="81"/>
      <c r="F94" s="81"/>
      <c r="G94" s="45"/>
      <c r="H94" s="81"/>
      <c r="I94" s="81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6" spans="1:23" x14ac:dyDescent="0.2">
      <c r="A96" s="26"/>
      <c r="B96" s="45"/>
      <c r="C96" s="45"/>
      <c r="D96" s="45"/>
      <c r="E96" s="81"/>
      <c r="F96" s="81"/>
      <c r="G96" s="45"/>
      <c r="H96" s="81"/>
      <c r="I96" s="81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</row>
    <row r="98" spans="1:23" x14ac:dyDescent="0.2">
      <c r="A98" s="26"/>
      <c r="B98" s="45"/>
      <c r="C98" s="45"/>
      <c r="D98" s="45"/>
      <c r="E98" s="81"/>
      <c r="F98" s="81"/>
      <c r="G98" s="45"/>
      <c r="H98" s="81"/>
      <c r="I98" s="81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</row>
    <row r="100" spans="1:23" x14ac:dyDescent="0.2">
      <c r="A100" s="26"/>
      <c r="B100" s="45"/>
      <c r="C100" s="45"/>
      <c r="D100" s="45"/>
      <c r="E100" s="81"/>
      <c r="F100" s="81"/>
      <c r="G100" s="45"/>
      <c r="H100" s="81"/>
      <c r="I100" s="81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</row>
    <row r="102" spans="1:23" x14ac:dyDescent="0.2">
      <c r="A102" s="26"/>
      <c r="B102" s="45"/>
      <c r="C102" s="45"/>
      <c r="D102" s="45"/>
      <c r="E102" s="81"/>
      <c r="F102" s="81"/>
      <c r="G102" s="45"/>
      <c r="H102" s="81"/>
      <c r="I102" s="81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</row>
  </sheetData>
  <mergeCells count="17">
    <mergeCell ref="J40:J41"/>
    <mergeCell ref="AD28:AD29"/>
    <mergeCell ref="AE28:AE29"/>
    <mergeCell ref="B39:B40"/>
    <mergeCell ref="C39:C40"/>
    <mergeCell ref="D39:D40"/>
    <mergeCell ref="E40:E41"/>
    <mergeCell ref="F40:F41"/>
    <mergeCell ref="G40:G41"/>
    <mergeCell ref="H40:H41"/>
    <mergeCell ref="I40:I41"/>
    <mergeCell ref="AH2:AI2"/>
    <mergeCell ref="AH3:AI3"/>
    <mergeCell ref="AD4:AE4"/>
    <mergeCell ref="AH4:AI4"/>
    <mergeCell ref="AD19:AD20"/>
    <mergeCell ref="AE19:AE20"/>
  </mergeCells>
  <conditionalFormatting sqref="AH7:AI48">
    <cfRule type="cellIs" dxfId="1" priority="1" operator="lessThan">
      <formula>0</formula>
    </cfRule>
  </conditionalFormatting>
  <conditionalFormatting sqref="AI7:AI48">
    <cfRule type="iconSet" priority="2">
      <iconSet iconSet="3Arrows">
        <cfvo type="percent" val="0"/>
        <cfvo type="num" val="-0.1"/>
        <cfvo type="num" val="0.1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Joyce</cp:lastModifiedBy>
  <dcterms:created xsi:type="dcterms:W3CDTF">2023-06-10T13:44:41Z</dcterms:created>
  <dcterms:modified xsi:type="dcterms:W3CDTF">2023-06-10T13:47:06Z</dcterms:modified>
</cp:coreProperties>
</file>